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MATR" sheetId="1" r:id="rId4"/>
    <sheet state="visible" name="overview" sheetId="2" r:id="rId5"/>
    <sheet state="visible" name="is" sheetId="3" r:id="rId6"/>
    <sheet state="visible" name="bs" sheetId="4" r:id="rId7"/>
    <sheet state="visible" name="cf" sheetId="5" r:id="rId8"/>
    <sheet state="visible" name="owc" sheetId="6" r:id="rId9"/>
    <sheet state="visible" name="dep" sheetId="7" r:id="rId10"/>
    <sheet state="visible" name="amort" sheetId="8" r:id="rId11"/>
    <sheet state="visible" name="other" sheetId="9" r:id="rId12"/>
    <sheet state="visible" name="equity" sheetId="10" r:id="rId13"/>
    <sheet state="visible" name="shares" sheetId="11" r:id="rId14"/>
    <sheet state="visible" name="debt" sheetId="12" r:id="rId15"/>
    <sheet state="visible" name="ratios" sheetId="13" r:id="rId16"/>
  </sheets>
  <definedNames/>
  <calcPr/>
  <extLst>
    <ext uri="GoogleSheetsCustomDataVersion2">
      <go:sheetsCustomData xmlns:go="http://customooxmlschemas.google.com/" r:id="rId17" roundtripDataChecksum="86XcJu7rZQylRUQSgJHtOthks97EN3C16wWWx88cVIg="/>
    </ext>
  </extLst>
</workbook>
</file>

<file path=xl/sharedStrings.xml><?xml version="1.0" encoding="utf-8"?>
<sst xmlns="http://schemas.openxmlformats.org/spreadsheetml/2006/main" count="583" uniqueCount="376">
  <si>
    <t>BREVILLE GROUP LIMITED (ASX: BRG)</t>
  </si>
  <si>
    <t>Core Financial Model</t>
  </si>
  <si>
    <t>3-Statement Model with Supporting Schedules</t>
  </si>
  <si>
    <t>Data Source</t>
  </si>
  <si>
    <t>Yahoo Finance (BRG.AX) - Raw fundamentals FY22 - FY25 (30 June year-end)</t>
  </si>
  <si>
    <t>Financial Modeling</t>
  </si>
  <si>
    <t>Model Coverage</t>
  </si>
  <si>
    <t>Historicals: FY22A, FY23A, FY24A, FY25A</t>
  </si>
  <si>
    <t>Projections: FY26E, FY27E, FY28E, FY29E, FY30E</t>
  </si>
  <si>
    <t>Reporting Currency: A$ millions, except per share data</t>
  </si>
  <si>
    <t>Core Model</t>
  </si>
  <si>
    <t>Colour Convention</t>
  </si>
  <si>
    <t>Blue font</t>
  </si>
  <si>
    <t>Subject Company</t>
  </si>
  <si>
    <t>Hard-coded input</t>
  </si>
  <si>
    <t>Ticker:</t>
  </si>
  <si>
    <t>Black font</t>
  </si>
  <si>
    <t>Formula</t>
  </si>
  <si>
    <t>Green font</t>
  </si>
  <si>
    <t>BRG.AX</t>
  </si>
  <si>
    <t>Link to another worksheet</t>
  </si>
  <si>
    <t>Balance Sheet</t>
  </si>
  <si>
    <t>Company name:</t>
  </si>
  <si>
    <t>Model prepared: 8 July 2026</t>
  </si>
  <si>
    <t>Breville Group Limited</t>
  </si>
  <si>
    <t>Income Statement</t>
  </si>
  <si>
    <t>Exchange:</t>
  </si>
  <si>
    <t>A$ millions</t>
  </si>
  <si>
    <t>ASX (Australian Securities Exchange)</t>
  </si>
  <si>
    <t>Sector:</t>
  </si>
  <si>
    <t>A$ millions, except per share</t>
  </si>
  <si>
    <t>Consumer Discretionary</t>
  </si>
  <si>
    <t>Industry:</t>
  </si>
  <si>
    <t>Home &amp; Kitchen Appliances</t>
  </si>
  <si>
    <t>Historical Year Ending 30 June</t>
  </si>
  <si>
    <t>Sub-header #1:</t>
  </si>
  <si>
    <t>Sub-header #2:</t>
  </si>
  <si>
    <t>Last Fiscal Year End:</t>
  </si>
  <si>
    <t>30 June 2025</t>
  </si>
  <si>
    <t>Number of days in a year:</t>
  </si>
  <si>
    <t>365</t>
  </si>
  <si>
    <t>Data source:</t>
  </si>
  <si>
    <t>Yahoo Finance (BRG.AX)</t>
  </si>
  <si>
    <t>Color Codes</t>
  </si>
  <si>
    <t>Input</t>
  </si>
  <si>
    <t>Blue cells / font are for data input</t>
  </si>
  <si>
    <t>Projected Year Ending 30 June</t>
  </si>
  <si>
    <t>Reference</t>
  </si>
  <si>
    <t>Green cells / font are links to different worksheets</t>
  </si>
  <si>
    <t>Black cells / font are formulas</t>
  </si>
  <si>
    <t>FY22A</t>
  </si>
  <si>
    <t>Warning</t>
  </si>
  <si>
    <t>Red cells are "warnings" - unique treatment</t>
  </si>
  <si>
    <t>FY23A</t>
  </si>
  <si>
    <t>FY22-FY30 CAGR</t>
  </si>
  <si>
    <t>Model Features</t>
  </si>
  <si>
    <t>FY24A</t>
  </si>
  <si>
    <t>Core statements (Income Statement, Balance Sheet, Cash Flow)</t>
  </si>
  <si>
    <t>Detailed line items sourced from Yahoo Finance</t>
  </si>
  <si>
    <t>FY25A</t>
  </si>
  <si>
    <t>Supporting schedules:</t>
  </si>
  <si>
    <t>FY26E</t>
  </si>
  <si>
    <t xml:space="preserve">  - Operating Working Capital (OWC)</t>
  </si>
  <si>
    <t>FY27E</t>
  </si>
  <si>
    <t xml:space="preserve">  - Waterfall (triangle) depreciation schedule with existing + new PP&amp;E</t>
  </si>
  <si>
    <t>Notes / Step</t>
  </si>
  <si>
    <t xml:space="preserve">  - Amortization schedule for intangibles</t>
  </si>
  <si>
    <t>FY28E</t>
  </si>
  <si>
    <t xml:space="preserve">  - Other long-term items schedule</t>
  </si>
  <si>
    <t xml:space="preserve">  - Shareholders' equity schedule</t>
  </si>
  <si>
    <t>FY29E</t>
  </si>
  <si>
    <t xml:space="preserve">  - Shares outstanding schedule</t>
  </si>
  <si>
    <t>FY30E</t>
  </si>
  <si>
    <t xml:space="preserve">  - Debt and interest schedule (revolver + LT debt + leases)</t>
  </si>
  <si>
    <t xml:space="preserve">  - Ratios suite (growth, profitability, capital structure, asset efficiency)</t>
  </si>
  <si>
    <t>CURRENT ASSETS</t>
  </si>
  <si>
    <t>Interest calculated using average balances</t>
  </si>
  <si>
    <t>Circularity switch on/off</t>
  </si>
  <si>
    <t>Cash &amp; Cash Equivalents</t>
  </si>
  <si>
    <t>Cash sweep to revolver</t>
  </si>
  <si>
    <t>Dividend and buyback assumptions</t>
  </si>
  <si>
    <t>Tax rate applied to pre-tax income</t>
  </si>
  <si>
    <t>Operating Revenue</t>
  </si>
  <si>
    <t>Accounts Receivable (gross)</t>
  </si>
  <si>
    <t>Incorrect linkage</t>
  </si>
  <si>
    <t>Total Revenue</t>
  </si>
  <si>
    <t>Loans Receivable</t>
  </si>
  <si>
    <t>Cash Flow Statement</t>
  </si>
  <si>
    <t>A$ millions - Historicals from Yahoo CF Statement, Projections via Indirect Method</t>
  </si>
  <si>
    <t>Historical</t>
  </si>
  <si>
    <t>Projected</t>
  </si>
  <si>
    <t>Other Receivables</t>
  </si>
  <si>
    <t xml:space="preserve">  Revenue growth %</t>
  </si>
  <si>
    <t>CASH FLOW FROM OPERATING ACTIVITIES</t>
  </si>
  <si>
    <t>Net Income</t>
  </si>
  <si>
    <t>Flatline implementation incorrect</t>
  </si>
  <si>
    <t>Allowances</t>
  </si>
  <si>
    <t>Operating Working Capital Schedule</t>
  </si>
  <si>
    <t>Cost of Revenue</t>
  </si>
  <si>
    <t>Step</t>
  </si>
  <si>
    <t>Gross Profit</t>
  </si>
  <si>
    <t>Receivables, net</t>
  </si>
  <si>
    <t>Revenue</t>
  </si>
  <si>
    <t>Work In Process</t>
  </si>
  <si>
    <t xml:space="preserve">  Gross margin %</t>
  </si>
  <si>
    <t>+ Depreciation &amp; Amortization</t>
  </si>
  <si>
    <t>Hardcode in cell formula</t>
  </si>
  <si>
    <t>Finished Goods</t>
  </si>
  <si>
    <t>Operating Expenses:</t>
  </si>
  <si>
    <t>Salaries and Wages</t>
  </si>
  <si>
    <t>+/- Change in Operating Working Capital</t>
  </si>
  <si>
    <t>Inventory</t>
  </si>
  <si>
    <t>Prepaid Assets</t>
  </si>
  <si>
    <t>Rent and Landing Fees</t>
  </si>
  <si>
    <t>+/- Change in Other LT Items</t>
  </si>
  <si>
    <t>Current Deferred Tax Assets</t>
  </si>
  <si>
    <t>Days-Based Assumptions</t>
  </si>
  <si>
    <t>Days in period</t>
  </si>
  <si>
    <t>General and Administrative Expense</t>
  </si>
  <si>
    <t>Working Capital Balances</t>
  </si>
  <si>
    <t>+/- Other non-cash items / adj</t>
  </si>
  <si>
    <t>Hedging Assets</t>
  </si>
  <si>
    <t>Selling and Marketing Expense</t>
  </si>
  <si>
    <t>Hardcoded 0's. Incorrect Implementation</t>
  </si>
  <si>
    <t>Cash Flow from Operating Activities</t>
  </si>
  <si>
    <t>Selling, General and Administration</t>
  </si>
  <si>
    <t>Other Current Assets</t>
  </si>
  <si>
    <t xml:space="preserve">  DSO (days sales outstanding)</t>
  </si>
  <si>
    <t>Total Current Assets</t>
  </si>
  <si>
    <t>Depreciation (Income Statement)</t>
  </si>
  <si>
    <t>Totals don't add up. Needs investigation</t>
  </si>
  <si>
    <t>CASH FLOW FROM INVESTING ACTIVITIES</t>
  </si>
  <si>
    <t>Capital Expenditures</t>
  </si>
  <si>
    <t>Amortization of Intangibles</t>
  </si>
  <si>
    <t>Purchase of Intangibles</t>
  </si>
  <si>
    <t>NON-CURRENT ASSETS</t>
  </si>
  <si>
    <t>Machinery, Furniture &amp; Equipment</t>
  </si>
  <si>
    <t>Depreciation &amp; Amortization</t>
  </si>
  <si>
    <t>Business Acquisitions</t>
  </si>
  <si>
    <t>Other Properties</t>
  </si>
  <si>
    <t>Other Operating Expenses</t>
  </si>
  <si>
    <t>Cash Flow from Investing Activities</t>
  </si>
  <si>
    <t>Implementation with Opposite sign</t>
  </si>
  <si>
    <t>Gross PP&amp;E</t>
  </si>
  <si>
    <t xml:space="preserve">  DIO (days inventory outstanding)</t>
  </si>
  <si>
    <t>Total Operating Expense</t>
  </si>
  <si>
    <t>CASH FLOW FROM FINANCING ACTIVITIES</t>
  </si>
  <si>
    <t>Net Debt Issuance / (Repayment)</t>
  </si>
  <si>
    <t>Accumulated Depreciation</t>
  </si>
  <si>
    <t>Accounts Payable</t>
  </si>
  <si>
    <t>Operating Income</t>
  </si>
  <si>
    <t>Net PP&amp;E</t>
  </si>
  <si>
    <t>Dividends Paid</t>
  </si>
  <si>
    <t>Goodwill</t>
  </si>
  <si>
    <t xml:space="preserve">  Operating margin %</t>
  </si>
  <si>
    <t xml:space="preserve">  DPO (days payables outstanding)</t>
  </si>
  <si>
    <t>Other Intangible Assets</t>
  </si>
  <si>
    <t>Other Financing (incl. lease payments)</t>
  </si>
  <si>
    <t>Non-Operating Items:</t>
  </si>
  <si>
    <t>Interest Income (Non-Operating)</t>
  </si>
  <si>
    <t>Cash Flow from Financing Activities</t>
  </si>
  <si>
    <t>Goodwill &amp; Other Intangibles</t>
  </si>
  <si>
    <t>Cash Conversion Cycle (days)</t>
  </si>
  <si>
    <t>Circularity Switch implementation missing</t>
  </si>
  <si>
    <t>Interest Expense (Non-Operating)</t>
  </si>
  <si>
    <t>Effect of Exchange Rate Changes</t>
  </si>
  <si>
    <t>Investments and Advances</t>
  </si>
  <si>
    <t>Net Change in Cash</t>
  </si>
  <si>
    <t>Non-Current Accounts Receivable</t>
  </si>
  <si>
    <t>Total Other Finance Cost</t>
  </si>
  <si>
    <t>Non-Current Deferred Tax Assets</t>
  </si>
  <si>
    <t>Change in Operating Working Capital</t>
  </si>
  <si>
    <t>(Increase) / decrease in AR</t>
  </si>
  <si>
    <t>Net Non-Operating Interest Income (Expense)</t>
  </si>
  <si>
    <t>Total Non-Current Assets</t>
  </si>
  <si>
    <t>Beginning Cash</t>
  </si>
  <si>
    <t>TOTAL ASSETS</t>
  </si>
  <si>
    <t>(Increase) / decrease in Inventory</t>
  </si>
  <si>
    <t>Other Non-Operating Income (Expense)</t>
  </si>
  <si>
    <t>Ending Cash</t>
  </si>
  <si>
    <t>Pretax Income</t>
  </si>
  <si>
    <t>CURRENT LIABILITIES</t>
  </si>
  <si>
    <t>Increase / (decrease) in AP</t>
  </si>
  <si>
    <t>FREE CASH FLOW</t>
  </si>
  <si>
    <t>Cash Flow from Operations</t>
  </si>
  <si>
    <t>Current Provisions</t>
  </si>
  <si>
    <t>Change in OWC (cash flow impact)</t>
  </si>
  <si>
    <t>Tax Provision</t>
  </si>
  <si>
    <t>+ CapEx</t>
  </si>
  <si>
    <t>Pension &amp; Post-Retirement Current</t>
  </si>
  <si>
    <t>Projection Drivers</t>
  </si>
  <si>
    <t>DSO assumption</t>
  </si>
  <si>
    <t>Current Debt</t>
  </si>
  <si>
    <t xml:space="preserve">  Effective tax rate</t>
  </si>
  <si>
    <t>Calcs missing</t>
  </si>
  <si>
    <t>Free Cash Flow</t>
  </si>
  <si>
    <t>Step not being used</t>
  </si>
  <si>
    <t>DIO assumption</t>
  </si>
  <si>
    <t>Current Capital Lease Obligation</t>
  </si>
  <si>
    <t>DPO assumption</t>
  </si>
  <si>
    <t>Purchase of Intangibles and Acquisitions Missing from Calc</t>
  </si>
  <si>
    <t>Current Debt &amp; Cap Lease Obligation</t>
  </si>
  <si>
    <t>Current Deferred Tax Liabilities</t>
  </si>
  <si>
    <t xml:space="preserve">  Net income margin %</t>
  </si>
  <si>
    <t>Total Current Liabilities</t>
  </si>
  <si>
    <t>Per Share Data:</t>
  </si>
  <si>
    <t>Basic Average Shares (m)</t>
  </si>
  <si>
    <t>Diluted Average Shares (m)</t>
  </si>
  <si>
    <t>NON-CURRENT LIABILITIES</t>
  </si>
  <si>
    <t>Long-Term Debt</t>
  </si>
  <si>
    <t>Basic EPS (A$)</t>
  </si>
  <si>
    <t>Long-Term Capital Lease Obligation</t>
  </si>
  <si>
    <t>Diluted EPS (A$)</t>
  </si>
  <si>
    <t>LT Debt &amp; Cap Lease Obligation</t>
  </si>
  <si>
    <t>EBIT / EBITDA Reconciliation:</t>
  </si>
  <si>
    <t>EBIT</t>
  </si>
  <si>
    <t>Non-Current Deferred Tax Liabilities</t>
  </si>
  <si>
    <t xml:space="preserve">  EBIT margin %</t>
  </si>
  <si>
    <t>Trade &amp; Other Payables (Non-Current)</t>
  </si>
  <si>
    <t>Non-Current Pension / Employee Benefits</t>
  </si>
  <si>
    <t>EBITDA</t>
  </si>
  <si>
    <t>Total Non-Current Liabilities</t>
  </si>
  <si>
    <t xml:space="preserve">  EBITDA margin %</t>
  </si>
  <si>
    <t>TOTAL LIABILITIES</t>
  </si>
  <si>
    <t>FORECAST DRIVERS &amp; ASSUMPTIONS</t>
  </si>
  <si>
    <t>EQUITY</t>
  </si>
  <si>
    <t>Common Stock</t>
  </si>
  <si>
    <t>Revenue growth %</t>
  </si>
  <si>
    <t>Retained Earnings</t>
  </si>
  <si>
    <t>Gross margin %</t>
  </si>
  <si>
    <t>Salaries &amp; wages (% of revenue)</t>
  </si>
  <si>
    <t>Rent &amp; landing fees (% of revenue)</t>
  </si>
  <si>
    <t>Foreign Currency Translation Adj</t>
  </si>
  <si>
    <t>G&amp;A (% of revenue)</t>
  </si>
  <si>
    <t>Selling &amp; marketing (% of revenue)</t>
  </si>
  <si>
    <t>Other Equity Adjustments</t>
  </si>
  <si>
    <t>Other operating expenses (% of rev)</t>
  </si>
  <si>
    <t>Effective tax rate %</t>
  </si>
  <si>
    <t>Amortization Schedule (Other Intangibles)</t>
  </si>
  <si>
    <t>Depreciation Schedule</t>
  </si>
  <si>
    <t>TOTAL EQUITY</t>
  </si>
  <si>
    <t>Diluted share growth %</t>
  </si>
  <si>
    <t>Circularity switch (1=ON, 0=OFF)</t>
  </si>
  <si>
    <t>Other Intangibles Roll-Forward</t>
  </si>
  <si>
    <t>Beginning Other Intangibles</t>
  </si>
  <si>
    <t>Net PP&amp;E Roll-Forward</t>
  </si>
  <si>
    <t>Beginning Net PP&amp;E</t>
  </si>
  <si>
    <t>TOTAL LIABILITIES &amp; EQUITY</t>
  </si>
  <si>
    <t>Additions to Intangibles</t>
  </si>
  <si>
    <t>(Amortization Expense)</t>
  </si>
  <si>
    <t>(Depreciation expense)</t>
  </si>
  <si>
    <t>Balance check (A - L - E)</t>
  </si>
  <si>
    <t>Formula implementation incorrect</t>
  </si>
  <si>
    <t>Ending Other Intangibles</t>
  </si>
  <si>
    <t>Revenue (link)</t>
  </si>
  <si>
    <t>Ending Net PP&amp;E</t>
  </si>
  <si>
    <t>Balance Check Fail Highlight missing</t>
  </si>
  <si>
    <t>MEMO ITEMS</t>
  </si>
  <si>
    <t>Total Debt</t>
  </si>
  <si>
    <t>Ending intangibles (for BS)</t>
  </si>
  <si>
    <t>Net Debt / (Cash)</t>
  </si>
  <si>
    <t>Additions (% of revenue)</t>
  </si>
  <si>
    <t>Working Capital</t>
  </si>
  <si>
    <t>Check Basis of Assumption</t>
  </si>
  <si>
    <t>Useful life (years)</t>
  </si>
  <si>
    <t>Flatline implementation incorrect. Check Basis of Assumption</t>
  </si>
  <si>
    <t>Amortization for IS link (positive)</t>
  </si>
  <si>
    <t>Invested Capital</t>
  </si>
  <si>
    <t>CapEx (% of revenue)</t>
  </si>
  <si>
    <t>Tangible Book Value</t>
  </si>
  <si>
    <t>Why declining when Depreciation increasing?</t>
  </si>
  <si>
    <t>Depreciation for IS link (positive)</t>
  </si>
  <si>
    <t>Ordinary Shares Number (m)</t>
  </si>
  <si>
    <t>Other Long-Term Items Schedule</t>
  </si>
  <si>
    <t>A$ millions - historical inputs held flat in projections</t>
  </si>
  <si>
    <t>Projected (held flat)</t>
  </si>
  <si>
    <t>Other Long-Term Assets:</t>
  </si>
  <si>
    <t>Other Long-Term Liabilities:</t>
  </si>
  <si>
    <t>Trade &amp; Other Payables (NC)</t>
  </si>
  <si>
    <t>Change in Other LT Items (for CF)</t>
  </si>
  <si>
    <t>Change in Other LT Assets</t>
  </si>
  <si>
    <t>Change in Other LT Liabilities</t>
  </si>
  <si>
    <t>Change in Other LT (net)</t>
  </si>
  <si>
    <t>Shareholders' Equity Schedule</t>
  </si>
  <si>
    <t>Preferable to implement formula as a sum</t>
  </si>
  <si>
    <t>Common Stock Roll-Forward</t>
  </si>
  <si>
    <t>Beginning common stock</t>
  </si>
  <si>
    <t>Share issuances (options, RSUs)</t>
  </si>
  <si>
    <t>(Share repurchases)</t>
  </si>
  <si>
    <t>Extra Rows. Delete</t>
  </si>
  <si>
    <t>Ending common stock</t>
  </si>
  <si>
    <t>Shares Outstanding Schedule</t>
  </si>
  <si>
    <t>Retained Earnings Roll-Forward</t>
  </si>
  <si>
    <t>Beginning retained earnings</t>
  </si>
  <si>
    <t>Shares in millions</t>
  </si>
  <si>
    <t>Debt &amp; Interest Schedule</t>
  </si>
  <si>
    <t>+ Net income</t>
  </si>
  <si>
    <t>Basic Shares Outstanding (period-end)</t>
  </si>
  <si>
    <t>Beginning basic shares</t>
  </si>
  <si>
    <t>Revolver / Short-Term Debt</t>
  </si>
  <si>
    <t>Beginning balance</t>
  </si>
  <si>
    <t>- Dividends paid</t>
  </si>
  <si>
    <t>Shares issued (options, RSUs)</t>
  </si>
  <si>
    <t>Issuance / (Repayment)</t>
  </si>
  <si>
    <t>Ending retained earnings</t>
  </si>
  <si>
    <t>Ending balance</t>
  </si>
  <si>
    <t>(Shares repurchased)</t>
  </si>
  <si>
    <t>Dividend Assumptions</t>
  </si>
  <si>
    <t>Payout ratio %</t>
  </si>
  <si>
    <t>Ending basic shares</t>
  </si>
  <si>
    <t>Dividend per share (A$)</t>
  </si>
  <si>
    <t>Diluted Weighted Average Shares</t>
  </si>
  <si>
    <t>Basic average shares</t>
  </si>
  <si>
    <t>Dilutive securities (options, RSUs)</t>
  </si>
  <si>
    <t>Diluted average shares</t>
  </si>
  <si>
    <t>Incorrect Formula</t>
  </si>
  <si>
    <t>Ratio Analysis</t>
  </si>
  <si>
    <t>Comprehensive KPI suite</t>
  </si>
  <si>
    <t>Growth</t>
  </si>
  <si>
    <t>Revenue growth</t>
  </si>
  <si>
    <t>Current debt ending (for BS)</t>
  </si>
  <si>
    <t>LT debt ending (for BS)</t>
  </si>
  <si>
    <t>Capital Leases</t>
  </si>
  <si>
    <t>Current lease obligation</t>
  </si>
  <si>
    <t>Gross profit growth</t>
  </si>
  <si>
    <t>Long-term lease obligation</t>
  </si>
  <si>
    <t>EBITDA growth</t>
  </si>
  <si>
    <t>Total lease obligation</t>
  </si>
  <si>
    <t>Current lease ending (for BS)</t>
  </si>
  <si>
    <t>EBIT growth</t>
  </si>
  <si>
    <t>LT lease ending (for BS)</t>
  </si>
  <si>
    <t>Net income growth</t>
  </si>
  <si>
    <t>Interest Rate Assumptions</t>
  </si>
  <si>
    <t>Revolver / ST debt rate</t>
  </si>
  <si>
    <t>LT debt rate</t>
  </si>
  <si>
    <t>Lease implied rate</t>
  </si>
  <si>
    <t>Cash interest income rate</t>
  </si>
  <si>
    <t>EPS (diluted) growth</t>
  </si>
  <si>
    <t>Interest Expense (using average balances)</t>
  </si>
  <si>
    <t>Revolver interest</t>
  </si>
  <si>
    <t>LT debt interest</t>
  </si>
  <si>
    <t>Profitability Margins</t>
  </si>
  <si>
    <t>Lease interest</t>
  </si>
  <si>
    <t>Gross margin</t>
  </si>
  <si>
    <t>Total interest expense</t>
  </si>
  <si>
    <t>Interest Income (Cash Balance)</t>
  </si>
  <si>
    <t>Beginning cash</t>
  </si>
  <si>
    <t>EBITDA margin</t>
  </si>
  <si>
    <t>Ending cash</t>
  </si>
  <si>
    <t>EBIT margin</t>
  </si>
  <si>
    <t>Operating margin</t>
  </si>
  <si>
    <t>Average cash</t>
  </si>
  <si>
    <t>Pretax margin</t>
  </si>
  <si>
    <t>Total Debt / EBITDA</t>
  </si>
  <si>
    <t>Net income margin</t>
  </si>
  <si>
    <t>Returns</t>
  </si>
  <si>
    <t>EBITDA / Interest Expense</t>
  </si>
  <si>
    <t>Return on Equity (ROE)</t>
  </si>
  <si>
    <t>Interest income (for IS)</t>
  </si>
  <si>
    <t>Return on Assets (ROA)</t>
  </si>
  <si>
    <t>Return on Invested Capital (ROIC)</t>
  </si>
  <si>
    <t>Capital Structure</t>
  </si>
  <si>
    <t>Net Debt / EBITDA</t>
  </si>
  <si>
    <t>Debt / Equity</t>
  </si>
  <si>
    <t>Working Capital &amp; Asset Efficiency</t>
  </si>
  <si>
    <t>Days Sales Outstanding (DSO)</t>
  </si>
  <si>
    <t>Check. Values are inconsistent</t>
  </si>
  <si>
    <t>Days Inventory Outstanding (DIO)</t>
  </si>
  <si>
    <t>Days Payables Outstanding (DPO)</t>
  </si>
  <si>
    <t>Cash Conversion Cycle</t>
  </si>
  <si>
    <t>Asset Turnover (Rev/Assets)</t>
  </si>
  <si>
    <t>Fixed Asset Turnover</t>
  </si>
  <si>
    <t>Liquidity</t>
  </si>
  <si>
    <t>Current Ratio</t>
  </si>
  <si>
    <t>Quick Ratio</t>
  </si>
  <si>
    <t>Cash Ratio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</si>
</sst>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#,##0.0;(#,##0.0);-"/>
    <numFmt numFmtId="165" formatCode="#,##0.00;(#,##0.00);-"/>
    <numFmt numFmtId="166" formatCode="0.0%;(0.0%);-"/>
    <numFmt numFmtId="167" formatCode="#,##0;(#,##0);-"/>
    <numFmt numFmtId="168" formatCode="#,##0.000;(#,##0.000);-"/>
    <numFmt numFmtId="169" formatCode="0.00%;(0.00%);-"/>
    <numFmt numFmtId="170" formatCode="0.00&quot;x&quot;"/>
  </numFmts>
  <fonts count="30">
    <font>
      <sz val="11.0"/>
      <color theme="1"/>
      <name val="Calibri"/>
      <scheme val="minor"/>
    </font>
    <font>
      <b/>
      <sz val="22.0"/>
      <color rgb="FF1F3864"/>
      <name val="Calibri"/>
    </font>
    <font>
      <b/>
      <sz val="16.0"/>
      <color rgb="FF808080"/>
      <name val="Calibri"/>
    </font>
    <font>
      <i/>
      <sz val="12.0"/>
      <color rgb="FF808080"/>
      <name val="Calibri"/>
    </font>
    <font>
      <b/>
      <sz val="12.0"/>
      <color rgb="FF1F3864"/>
      <name val="Calibri"/>
    </font>
    <font>
      <sz val="10.0"/>
      <color theme="1"/>
      <name val="Calibri"/>
    </font>
    <font>
      <b/>
      <sz val="14.0"/>
      <color rgb="FF1F3864"/>
      <name val="Calibri"/>
    </font>
    <font>
      <i/>
      <sz val="10.0"/>
      <color theme="1"/>
      <name val="Calibri"/>
    </font>
    <font>
      <i/>
      <sz val="11.0"/>
      <color rgb="FF808080"/>
      <name val="Calibri"/>
    </font>
    <font>
      <color theme="1"/>
      <name val="Calibri"/>
    </font>
    <font>
      <b/>
      <sz val="11.0"/>
      <color rgb="FF1F3864"/>
      <name val="Calibri"/>
    </font>
    <font>
      <sz val="10.0"/>
      <color rgb="FF0070C0"/>
      <name val="Calibri"/>
    </font>
    <font>
      <b/>
      <sz val="10.0"/>
      <color rgb="FF000000"/>
      <name val="Calibri"/>
    </font>
    <font>
      <sz val="10.0"/>
      <color rgb="FF006100"/>
      <name val="Calibri"/>
    </font>
    <font>
      <b/>
      <sz val="13.0"/>
      <color rgb="FF1F3864"/>
      <name val="Calibri"/>
    </font>
    <font>
      <i/>
      <sz val="9.0"/>
      <color rgb="FF808080"/>
      <name val="Calibri"/>
    </font>
    <font/>
    <font>
      <sz val="10.0"/>
      <color rgb="FF000000"/>
      <name val="Calibri"/>
    </font>
    <font>
      <b/>
      <sz val="10.0"/>
      <color rgb="FFFFFFFF"/>
      <name val="Calibri"/>
    </font>
    <font>
      <sz val="10.0"/>
      <color rgb="FFC00000"/>
      <name val="Calibri"/>
    </font>
    <font>
      <b/>
      <sz val="10.0"/>
      <color rgb="FF0070C0"/>
      <name val="Calibri"/>
    </font>
    <font>
      <i/>
      <color rgb="FF999999"/>
      <name val="Calibri"/>
    </font>
    <font>
      <b/>
      <i/>
      <sz val="10.0"/>
      <color rgb="FF000000"/>
      <name val="Calibri"/>
    </font>
    <font>
      <i/>
      <sz val="10.0"/>
      <color rgb="FF808080"/>
      <name val="Calibri"/>
    </font>
    <font>
      <i/>
      <sz val="10.0"/>
      <color rgb="FF000000"/>
      <name val="Calibri"/>
    </font>
    <font>
      <b/>
      <sz val="10.0"/>
      <color rgb="FF006100"/>
      <name val="Calibri"/>
    </font>
    <font>
      <color rgb="FF0070C0"/>
      <name val="Calibri"/>
    </font>
    <font>
      <sz val="11.0"/>
      <color theme="1"/>
      <name val="Calibri"/>
    </font>
    <font>
      <i/>
      <sz val="10.0"/>
      <color rgb="FFC00000"/>
      <name val="Calibri"/>
    </font>
    <font>
      <i/>
      <sz val="10.0"/>
      <color rgb="FF0061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9E1F2"/>
        <bgColor rgb="FFD9E1F2"/>
      </patternFill>
    </fill>
    <fill>
      <patternFill patternType="solid">
        <fgColor rgb="FF1F3864"/>
        <bgColor rgb="FF1F3864"/>
      </patternFill>
    </fill>
  </fills>
  <borders count="31">
    <border/>
    <border>
      <left/>
      <top/>
      <bottom/>
    </border>
    <border>
      <top/>
      <bottom/>
    </border>
    <border>
      <left/>
      <right/>
      <top/>
      <bottom/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9900"/>
      </left>
      <top style="thin">
        <color rgb="FFFF9900"/>
      </top>
      <bottom style="thin">
        <color rgb="FFFF9900"/>
      </bottom>
    </border>
    <border>
      <top style="thin">
        <color rgb="FFFF9900"/>
      </top>
      <bottom style="thin">
        <color rgb="FFFF9900"/>
      </bottom>
    </border>
    <border>
      <right style="thin">
        <color rgb="FFFF9900"/>
      </right>
      <top style="thin">
        <color rgb="FFFF9900"/>
      </top>
      <bottom style="thin">
        <color rgb="FFFF9900"/>
      </bottom>
    </border>
    <border>
      <top style="thin">
        <color rgb="FF000000"/>
      </top>
    </border>
    <border>
      <left style="thin">
        <color rgb="FFFF9900"/>
      </left>
      <bottom style="thin">
        <color rgb="FFFF9900"/>
      </bottom>
    </border>
    <border>
      <bottom style="thin">
        <color rgb="FFFF9900"/>
      </bottom>
    </border>
    <border>
      <bottom style="double">
        <color rgb="FF000000"/>
      </bottom>
    </border>
    <border>
      <right style="thin">
        <color rgb="FFFF9900"/>
      </right>
      <bottom style="thin">
        <color rgb="FFFF99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  <border>
      <top style="double">
        <color rgb="FF000000"/>
      </top>
      <bottom style="double">
        <color rgb="FF000000"/>
      </bottom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FF0000"/>
      </left>
    </border>
    <border>
      <right style="thin">
        <color rgb="FFFF0000"/>
      </right>
    </border>
    <border>
      <left style="thin">
        <color rgb="FFFF9900"/>
      </left>
      <right style="thin">
        <color rgb="FFFF9900"/>
      </right>
      <top style="thin">
        <color rgb="FFFF9900"/>
      </top>
      <bottom style="thin">
        <color rgb="FFFF9900"/>
      </bottom>
    </border>
    <border>
      <left style="thin">
        <color rgb="FFFF9900"/>
      </left>
      <top style="thin">
        <color rgb="FFFF9900"/>
      </top>
    </border>
    <border>
      <top style="thin">
        <color rgb="FFFF9900"/>
      </top>
    </border>
    <border>
      <right style="thin">
        <color rgb="FFFF9900"/>
      </right>
      <top style="thin">
        <color rgb="FFFF9900"/>
      </top>
    </border>
    <border>
      <left style="thin">
        <color rgb="FFFF9900"/>
      </left>
    </border>
    <border>
      <right style="thin">
        <color rgb="FFFF9900"/>
      </right>
    </border>
  </borders>
  <cellStyleXfs count="1">
    <xf borderId="0" fillId="0" fontId="0" numFmtId="0" applyAlignment="1" applyFont="1"/>
  </cellStyleXfs>
  <cellXfs count="16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7" numFmtId="0" xfId="0" applyFont="1"/>
    <xf borderId="0" fillId="0" fontId="8" numFmtId="0" xfId="0" applyFont="1"/>
    <xf borderId="0" fillId="0" fontId="9" numFmtId="0" xfId="0" applyFont="1"/>
    <xf borderId="0" fillId="0" fontId="10" numFmtId="0" xfId="0" applyFont="1"/>
    <xf borderId="0" fillId="0" fontId="11" numFmtId="0" xfId="0" applyFont="1"/>
    <xf borderId="0" fillId="0" fontId="12" numFmtId="0" xfId="0" applyAlignment="1" applyFont="1">
      <alignment horizontal="left" vertical="center"/>
    </xf>
    <xf borderId="0" fillId="0" fontId="11" numFmtId="0" xfId="0" applyAlignment="1" applyFont="1">
      <alignment horizontal="left" vertical="center"/>
    </xf>
    <xf borderId="0" fillId="0" fontId="13" numFmtId="0" xfId="0" applyFont="1"/>
    <xf borderId="0" fillId="0" fontId="14" numFmtId="0" xfId="0" applyAlignment="1" applyFont="1">
      <alignment readingOrder="0"/>
    </xf>
    <xf borderId="0" fillId="0" fontId="15" numFmtId="0" xfId="0" applyFont="1"/>
    <xf borderId="1" fillId="2" fontId="12" numFmtId="0" xfId="0" applyAlignment="1" applyBorder="1" applyFill="1" applyFont="1">
      <alignment horizontal="center" vertical="center"/>
    </xf>
    <xf borderId="2" fillId="0" fontId="16" numFmtId="0" xfId="0" applyBorder="1" applyFont="1"/>
    <xf borderId="0" fillId="0" fontId="13" numFmtId="0" xfId="0" applyAlignment="1" applyFont="1">
      <alignment horizontal="left" vertical="center"/>
    </xf>
    <xf borderId="0" fillId="0" fontId="17" numFmtId="0" xfId="0" applyAlignment="1" applyFont="1">
      <alignment horizontal="left" vertical="center"/>
    </xf>
    <xf borderId="3" fillId="3" fontId="18" numFmtId="0" xfId="0" applyAlignment="1" applyBorder="1" applyFill="1" applyFont="1">
      <alignment horizontal="center" vertical="center"/>
    </xf>
    <xf borderId="0" fillId="0" fontId="19" numFmtId="0" xfId="0" applyAlignment="1" applyFont="1">
      <alignment horizontal="left" vertical="center"/>
    </xf>
    <xf borderId="3" fillId="2" fontId="12" numFmtId="0" xfId="0" applyAlignment="1" applyBorder="1" applyFont="1">
      <alignment horizontal="center" vertical="center"/>
    </xf>
    <xf borderId="3" fillId="3" fontId="18" numFmtId="0" xfId="0" applyAlignment="1" applyBorder="1" applyFont="1">
      <alignment horizontal="left" vertical="center"/>
    </xf>
    <xf borderId="0" fillId="0" fontId="11" numFmtId="164" xfId="0" applyAlignment="1" applyFont="1" applyNumberFormat="1">
      <alignment horizontal="right" vertical="center"/>
    </xf>
    <xf borderId="0" fillId="0" fontId="20" numFmtId="164" xfId="0" applyAlignment="1" applyFont="1" applyNumberFormat="1">
      <alignment horizontal="right" vertical="center"/>
    </xf>
    <xf borderId="0" fillId="0" fontId="13" numFmtId="164" xfId="0" applyAlignment="1" applyFont="1" applyNumberFormat="1">
      <alignment horizontal="right"/>
    </xf>
    <xf borderId="0" fillId="0" fontId="12" numFmtId="164" xfId="0" applyAlignment="1" applyFont="1" applyNumberFormat="1">
      <alignment horizontal="right" vertical="center"/>
    </xf>
    <xf borderId="4" fillId="0" fontId="13" numFmtId="164" xfId="0" applyAlignment="1" applyBorder="1" applyFont="1" applyNumberFormat="1">
      <alignment horizontal="right"/>
    </xf>
    <xf borderId="5" fillId="0" fontId="13" numFmtId="164" xfId="0" applyAlignment="1" applyBorder="1" applyFont="1" applyNumberFormat="1">
      <alignment horizontal="right"/>
    </xf>
    <xf borderId="6" fillId="0" fontId="13" numFmtId="164" xfId="0" applyAlignment="1" applyBorder="1" applyFont="1" applyNumberFormat="1">
      <alignment horizontal="right"/>
    </xf>
    <xf borderId="0" fillId="0" fontId="21" numFmtId="0" xfId="0" applyFont="1"/>
    <xf borderId="0" fillId="0" fontId="14" numFmtId="0" xfId="0" applyFont="1"/>
    <xf borderId="0" fillId="0" fontId="11" numFmtId="165" xfId="0" applyAlignment="1" applyFont="1" applyNumberFormat="1">
      <alignment horizontal="right" vertical="center"/>
    </xf>
    <xf borderId="0" fillId="0" fontId="5" numFmtId="165" xfId="0" applyAlignment="1" applyFont="1" applyNumberFormat="1">
      <alignment horizontal="right"/>
    </xf>
    <xf borderId="0" fillId="0" fontId="22" numFmtId="166" xfId="0" applyAlignment="1" applyFont="1" applyNumberFormat="1">
      <alignment horizontal="right" vertical="center"/>
    </xf>
    <xf borderId="7" fillId="0" fontId="5" numFmtId="165" xfId="0" applyAlignment="1" applyBorder="1" applyFont="1" applyNumberFormat="1">
      <alignment horizontal="right"/>
    </xf>
    <xf borderId="0" fillId="0" fontId="23" numFmtId="0" xfId="0" applyAlignment="1" applyFont="1">
      <alignment horizontal="left" vertical="center"/>
    </xf>
    <xf borderId="8" fillId="0" fontId="5" numFmtId="165" xfId="0" applyAlignment="1" applyBorder="1" applyFont="1" applyNumberFormat="1">
      <alignment horizontal="right"/>
    </xf>
    <xf borderId="0" fillId="0" fontId="24" numFmtId="166" xfId="0" applyAlignment="1" applyFont="1" applyNumberFormat="1">
      <alignment horizontal="right" vertical="center"/>
    </xf>
    <xf borderId="9" fillId="0" fontId="5" numFmtId="165" xfId="0" applyAlignment="1" applyBorder="1" applyFont="1" applyNumberFormat="1">
      <alignment horizontal="right"/>
    </xf>
    <xf borderId="0" fillId="0" fontId="17" numFmtId="164" xfId="0" applyAlignment="1" applyFont="1" applyNumberFormat="1">
      <alignment horizontal="right" vertical="center"/>
    </xf>
    <xf borderId="10" fillId="0" fontId="12" numFmtId="164" xfId="0" applyAlignment="1" applyBorder="1" applyFont="1" applyNumberFormat="1">
      <alignment horizontal="right" vertical="center"/>
    </xf>
    <xf borderId="0" fillId="0" fontId="25" numFmtId="164" xfId="0" applyAlignment="1" applyFont="1" applyNumberFormat="1">
      <alignment horizontal="right"/>
    </xf>
    <xf borderId="0" fillId="0" fontId="5" numFmtId="164" xfId="0" applyAlignment="1" applyFont="1" applyNumberFormat="1">
      <alignment horizontal="right"/>
    </xf>
    <xf borderId="0" fillId="0" fontId="11" numFmtId="167" xfId="0" applyAlignment="1" applyFont="1" applyNumberFormat="1">
      <alignment horizontal="right" vertical="center"/>
    </xf>
    <xf borderId="7" fillId="0" fontId="5" numFmtId="164" xfId="0" applyAlignment="1" applyBorder="1" applyFont="1" applyNumberFormat="1">
      <alignment horizontal="right"/>
    </xf>
    <xf borderId="8" fillId="0" fontId="5" numFmtId="164" xfId="0" applyAlignment="1" applyBorder="1" applyFont="1" applyNumberFormat="1">
      <alignment horizontal="right"/>
    </xf>
    <xf borderId="9" fillId="0" fontId="5" numFmtId="164" xfId="0" applyAlignment="1" applyBorder="1" applyFont="1" applyNumberFormat="1">
      <alignment horizontal="right"/>
    </xf>
    <xf borderId="4" fillId="0" fontId="11" numFmtId="164" xfId="0" applyAlignment="1" applyBorder="1" applyFont="1" applyNumberFormat="1">
      <alignment horizontal="right" vertical="center"/>
    </xf>
    <xf borderId="5" fillId="0" fontId="11" numFmtId="164" xfId="0" applyAlignment="1" applyBorder="1" applyFont="1" applyNumberFormat="1">
      <alignment horizontal="right" vertical="center"/>
    </xf>
    <xf borderId="6" fillId="0" fontId="11" numFmtId="164" xfId="0" applyAlignment="1" applyBorder="1" applyFont="1" applyNumberFormat="1">
      <alignment horizontal="right" vertical="center"/>
    </xf>
    <xf borderId="4" fillId="0" fontId="20" numFmtId="164" xfId="0" applyAlignment="1" applyBorder="1" applyFont="1" applyNumberFormat="1">
      <alignment horizontal="right" vertical="center"/>
    </xf>
    <xf borderId="5" fillId="0" fontId="20" numFmtId="164" xfId="0" applyAlignment="1" applyBorder="1" applyFont="1" applyNumberFormat="1">
      <alignment horizontal="right" vertical="center"/>
    </xf>
    <xf borderId="6" fillId="0" fontId="20" numFmtId="164" xfId="0" applyAlignment="1" applyBorder="1" applyFont="1" applyNumberFormat="1">
      <alignment horizontal="right" vertical="center"/>
    </xf>
    <xf borderId="11" fillId="0" fontId="5" numFmtId="164" xfId="0" applyAlignment="1" applyBorder="1" applyFont="1" applyNumberFormat="1">
      <alignment horizontal="right"/>
    </xf>
    <xf borderId="12" fillId="0" fontId="5" numFmtId="164" xfId="0" applyAlignment="1" applyBorder="1" applyFont="1" applyNumberFormat="1">
      <alignment horizontal="right"/>
    </xf>
    <xf borderId="13" fillId="0" fontId="12" numFmtId="164" xfId="0" applyAlignment="1" applyBorder="1" applyFont="1" applyNumberFormat="1">
      <alignment horizontal="right" vertical="center"/>
    </xf>
    <xf borderId="14" fillId="0" fontId="5" numFmtId="164" xfId="0" applyAlignment="1" applyBorder="1" applyFont="1" applyNumberFormat="1">
      <alignment horizontal="right"/>
    </xf>
    <xf borderId="0" fillId="0" fontId="24" numFmtId="164" xfId="0" applyAlignment="1" applyFont="1" applyNumberFormat="1">
      <alignment horizontal="right" vertical="center"/>
    </xf>
    <xf borderId="15" fillId="0" fontId="12" numFmtId="164" xfId="0" applyAlignment="1" applyBorder="1" applyFont="1" applyNumberFormat="1">
      <alignment horizontal="right" vertical="center"/>
    </xf>
    <xf borderId="0" fillId="0" fontId="13" numFmtId="164" xfId="0" applyAlignment="1" applyFont="1" applyNumberFormat="1">
      <alignment horizontal="right" vertical="center"/>
    </xf>
    <xf borderId="16" fillId="0" fontId="12" numFmtId="164" xfId="0" applyAlignment="1" applyBorder="1" applyFont="1" applyNumberFormat="1">
      <alignment horizontal="right" vertical="center"/>
    </xf>
    <xf borderId="4" fillId="0" fontId="5" numFmtId="164" xfId="0" applyAlignment="1" applyBorder="1" applyFont="1" applyNumberFormat="1">
      <alignment horizontal="right"/>
    </xf>
    <xf borderId="5" fillId="0" fontId="5" numFmtId="164" xfId="0" applyAlignment="1" applyBorder="1" applyFont="1" applyNumberFormat="1">
      <alignment horizontal="right"/>
    </xf>
    <xf borderId="6" fillId="0" fontId="5" numFmtId="164" xfId="0" applyAlignment="1" applyBorder="1" applyFont="1" applyNumberFormat="1">
      <alignment horizontal="right"/>
    </xf>
    <xf borderId="4" fillId="0" fontId="17" numFmtId="164" xfId="0" applyAlignment="1" applyBorder="1" applyFont="1" applyNumberFormat="1">
      <alignment horizontal="right" vertical="center"/>
    </xf>
    <xf borderId="5" fillId="0" fontId="17" numFmtId="164" xfId="0" applyAlignment="1" applyBorder="1" applyFont="1" applyNumberFormat="1">
      <alignment horizontal="right" vertical="center"/>
    </xf>
    <xf borderId="17" fillId="0" fontId="5" numFmtId="164" xfId="0" applyAlignment="1" applyBorder="1" applyFont="1" applyNumberFormat="1">
      <alignment horizontal="right"/>
    </xf>
    <xf borderId="18" fillId="0" fontId="5" numFmtId="164" xfId="0" applyAlignment="1" applyBorder="1" applyFont="1" applyNumberFormat="1">
      <alignment horizontal="right"/>
    </xf>
    <xf borderId="6" fillId="0" fontId="17" numFmtId="164" xfId="0" applyAlignment="1" applyBorder="1" applyFont="1" applyNumberFormat="1">
      <alignment horizontal="right" vertical="center"/>
    </xf>
    <xf borderId="19" fillId="0" fontId="5" numFmtId="164" xfId="0" applyAlignment="1" applyBorder="1" applyFont="1" applyNumberFormat="1">
      <alignment horizontal="right"/>
    </xf>
    <xf borderId="20" fillId="0" fontId="12" numFmtId="164" xfId="0" applyAlignment="1" applyBorder="1" applyFont="1" applyNumberFormat="1">
      <alignment horizontal="right" vertical="center"/>
    </xf>
    <xf borderId="7" fillId="0" fontId="13" numFmtId="165" xfId="0" applyAlignment="1" applyBorder="1" applyFont="1" applyNumberFormat="1">
      <alignment horizontal="right"/>
    </xf>
    <xf borderId="20" fillId="0" fontId="20" numFmtId="164" xfId="0" applyAlignment="1" applyBorder="1" applyFont="1" applyNumberFormat="1">
      <alignment horizontal="right" vertical="center"/>
    </xf>
    <xf borderId="8" fillId="0" fontId="13" numFmtId="165" xfId="0" applyAlignment="1" applyBorder="1" applyFont="1" applyNumberFormat="1">
      <alignment horizontal="right"/>
    </xf>
    <xf borderId="9" fillId="0" fontId="13" numFmtId="165" xfId="0" applyAlignment="1" applyBorder="1" applyFont="1" applyNumberFormat="1">
      <alignment horizontal="right"/>
    </xf>
    <xf borderId="11" fillId="0" fontId="13" numFmtId="165" xfId="0" applyAlignment="1" applyBorder="1" applyFont="1" applyNumberFormat="1">
      <alignment horizontal="right"/>
    </xf>
    <xf borderId="12" fillId="0" fontId="13" numFmtId="165" xfId="0" applyAlignment="1" applyBorder="1" applyFont="1" applyNumberFormat="1">
      <alignment horizontal="right"/>
    </xf>
    <xf borderId="14" fillId="0" fontId="13" numFmtId="165" xfId="0" applyAlignment="1" applyBorder="1" applyFont="1" applyNumberFormat="1">
      <alignment horizontal="right"/>
    </xf>
    <xf borderId="0" fillId="0" fontId="17" numFmtId="165" xfId="0" applyAlignment="1" applyFont="1" applyNumberFormat="1">
      <alignment horizontal="right"/>
    </xf>
    <xf borderId="10" fillId="0" fontId="12" numFmtId="165" xfId="0" applyAlignment="1" applyBorder="1" applyFont="1" applyNumberFormat="1">
      <alignment horizontal="right" vertical="center"/>
    </xf>
    <xf borderId="4" fillId="0" fontId="9" numFmtId="0" xfId="0" applyBorder="1" applyFont="1"/>
    <xf borderId="5" fillId="0" fontId="21" numFmtId="0" xfId="0" applyBorder="1" applyFont="1"/>
    <xf borderId="6" fillId="0" fontId="9" numFmtId="0" xfId="0" applyBorder="1" applyFont="1"/>
    <xf borderId="4" fillId="0" fontId="11" numFmtId="167" xfId="0" applyAlignment="1" applyBorder="1" applyFont="1" applyNumberFormat="1">
      <alignment horizontal="right" vertical="center"/>
    </xf>
    <xf borderId="5" fillId="0" fontId="11" numFmtId="167" xfId="0" applyAlignment="1" applyBorder="1" applyFont="1" applyNumberFormat="1">
      <alignment horizontal="right" vertical="center"/>
    </xf>
    <xf borderId="4" fillId="0" fontId="12" numFmtId="164" xfId="0" applyAlignment="1" applyBorder="1" applyFont="1" applyNumberFormat="1">
      <alignment horizontal="right" vertical="center"/>
    </xf>
    <xf borderId="6" fillId="0" fontId="11" numFmtId="167" xfId="0" applyAlignment="1" applyBorder="1" applyFont="1" applyNumberFormat="1">
      <alignment horizontal="right" vertical="center"/>
    </xf>
    <xf borderId="5" fillId="0" fontId="12" numFmtId="164" xfId="0" applyAlignment="1" applyBorder="1" applyFont="1" applyNumberFormat="1">
      <alignment horizontal="right" vertical="center"/>
    </xf>
    <xf borderId="21" fillId="0" fontId="11" numFmtId="167" xfId="0" applyAlignment="1" applyBorder="1" applyFont="1" applyNumberFormat="1">
      <alignment horizontal="right" vertical="center"/>
    </xf>
    <xf borderId="6" fillId="0" fontId="12" numFmtId="164" xfId="0" applyAlignment="1" applyBorder="1" applyFont="1" applyNumberFormat="1">
      <alignment horizontal="right" vertical="center"/>
    </xf>
    <xf borderId="17" fillId="0" fontId="9" numFmtId="0" xfId="0" applyBorder="1" applyFont="1"/>
    <xf borderId="19" fillId="0" fontId="9" numFmtId="0" xfId="0" applyBorder="1" applyFont="1"/>
    <xf borderId="17" fillId="0" fontId="11" numFmtId="167" xfId="0" applyAlignment="1" applyBorder="1" applyFont="1" applyNumberFormat="1">
      <alignment horizontal="right" vertical="center"/>
    </xf>
    <xf borderId="18" fillId="0" fontId="11" numFmtId="167" xfId="0" applyAlignment="1" applyBorder="1" applyFont="1" applyNumberFormat="1">
      <alignment horizontal="right" vertical="center"/>
    </xf>
    <xf borderId="19" fillId="0" fontId="11" numFmtId="167" xfId="0" applyAlignment="1" applyBorder="1" applyFont="1" applyNumberFormat="1">
      <alignment horizontal="right" vertical="center"/>
    </xf>
    <xf borderId="22" fillId="0" fontId="11" numFmtId="167" xfId="0" applyAlignment="1" applyBorder="1" applyFont="1" applyNumberFormat="1">
      <alignment horizontal="right" vertical="center"/>
    </xf>
    <xf borderId="0" fillId="0" fontId="17" numFmtId="165" xfId="0" applyAlignment="1" applyFont="1" applyNumberFormat="1">
      <alignment horizontal="right" vertical="center"/>
    </xf>
    <xf borderId="0" fillId="0" fontId="12" numFmtId="168" xfId="0" applyAlignment="1" applyFont="1" applyNumberFormat="1">
      <alignment horizontal="right" vertical="center"/>
    </xf>
    <xf borderId="4" fillId="0" fontId="26" numFmtId="166" xfId="0" applyAlignment="1" applyBorder="1" applyFont="1" applyNumberFormat="1">
      <alignment horizontal="right"/>
    </xf>
    <xf borderId="5" fillId="0" fontId="26" numFmtId="166" xfId="0" applyAlignment="1" applyBorder="1" applyFont="1" applyNumberFormat="1">
      <alignment horizontal="right"/>
    </xf>
    <xf borderId="6" fillId="0" fontId="26" numFmtId="166" xfId="0" applyAlignment="1" applyBorder="1" applyFont="1" applyNumberFormat="1">
      <alignment horizontal="right"/>
    </xf>
    <xf borderId="0" fillId="0" fontId="27" numFmtId="0" xfId="0" applyAlignment="1" applyFont="1">
      <alignment vertical="bottom"/>
    </xf>
    <xf borderId="21" fillId="0" fontId="26" numFmtId="166" xfId="0" applyAlignment="1" applyBorder="1" applyFont="1" applyNumberFormat="1">
      <alignment horizontal="right"/>
    </xf>
    <xf borderId="23" fillId="0" fontId="26" numFmtId="169" xfId="0" applyAlignment="1" applyBorder="1" applyFont="1" applyNumberFormat="1">
      <alignment horizontal="right"/>
    </xf>
    <xf borderId="0" fillId="0" fontId="26" numFmtId="169" xfId="0" applyAlignment="1" applyFont="1" applyNumberFormat="1">
      <alignment horizontal="right"/>
    </xf>
    <xf borderId="24" fillId="0" fontId="26" numFmtId="169" xfId="0" applyAlignment="1" applyBorder="1" applyFont="1" applyNumberFormat="1">
      <alignment horizontal="right"/>
    </xf>
    <xf borderId="22" fillId="0" fontId="26" numFmtId="169" xfId="0" applyAlignment="1" applyBorder="1" applyFont="1" applyNumberFormat="1">
      <alignment horizontal="right"/>
    </xf>
    <xf borderId="7" fillId="0" fontId="26" numFmtId="169" xfId="0" applyAlignment="1" applyBorder="1" applyFont="1" applyNumberFormat="1">
      <alignment horizontal="right"/>
    </xf>
    <xf borderId="8" fillId="0" fontId="26" numFmtId="169" xfId="0" applyAlignment="1" applyBorder="1" applyFont="1" applyNumberFormat="1">
      <alignment horizontal="right"/>
    </xf>
    <xf borderId="9" fillId="0" fontId="26" numFmtId="169" xfId="0" applyAlignment="1" applyBorder="1" applyFont="1" applyNumberFormat="1">
      <alignment horizontal="right"/>
    </xf>
    <xf borderId="21" fillId="0" fontId="26" numFmtId="169" xfId="0" applyAlignment="1" applyBorder="1" applyFont="1" applyNumberFormat="1">
      <alignment horizontal="right"/>
    </xf>
    <xf borderId="7" fillId="0" fontId="11" numFmtId="169" xfId="0" applyAlignment="1" applyBorder="1" applyFont="1" applyNumberFormat="1">
      <alignment horizontal="right" vertical="center"/>
    </xf>
    <xf borderId="8" fillId="0" fontId="11" numFmtId="169" xfId="0" applyAlignment="1" applyBorder="1" applyFont="1" applyNumberFormat="1">
      <alignment horizontal="right" vertical="center"/>
    </xf>
    <xf borderId="9" fillId="0" fontId="11" numFmtId="169" xfId="0" applyAlignment="1" applyBorder="1" applyFont="1" applyNumberFormat="1">
      <alignment horizontal="right" vertical="center"/>
    </xf>
    <xf borderId="7" fillId="0" fontId="11" numFmtId="166" xfId="0" applyAlignment="1" applyBorder="1" applyFont="1" applyNumberFormat="1">
      <alignment horizontal="right" vertical="center"/>
    </xf>
    <xf borderId="8" fillId="0" fontId="11" numFmtId="166" xfId="0" applyAlignment="1" applyBorder="1" applyFont="1" applyNumberFormat="1">
      <alignment horizontal="right" vertical="center"/>
    </xf>
    <xf borderId="9" fillId="0" fontId="11" numFmtId="166" xfId="0" applyAlignment="1" applyBorder="1" applyFont="1" applyNumberFormat="1">
      <alignment horizontal="right" vertical="center"/>
    </xf>
    <xf borderId="0" fillId="0" fontId="28" numFmtId="0" xfId="0" applyAlignment="1" applyFont="1">
      <alignment horizontal="left" vertical="center"/>
    </xf>
    <xf borderId="25" fillId="0" fontId="20" numFmtId="167" xfId="0" applyAlignment="1" applyBorder="1" applyFont="1" applyNumberFormat="1">
      <alignment horizontal="right" vertical="center"/>
    </xf>
    <xf borderId="4" fillId="0" fontId="24" numFmtId="165" xfId="0" applyAlignment="1" applyBorder="1" applyFont="1" applyNumberFormat="1">
      <alignment horizontal="right" vertical="center"/>
    </xf>
    <xf borderId="5" fillId="0" fontId="24" numFmtId="165" xfId="0" applyAlignment="1" applyBorder="1" applyFont="1" applyNumberFormat="1">
      <alignment horizontal="right" vertical="center"/>
    </xf>
    <xf borderId="0" fillId="0" fontId="29" numFmtId="164" xfId="0" applyAlignment="1" applyFont="1" applyNumberFormat="1">
      <alignment horizontal="right"/>
    </xf>
    <xf borderId="6" fillId="0" fontId="24" numFmtId="165" xfId="0" applyAlignment="1" applyBorder="1" applyFont="1" applyNumberFormat="1">
      <alignment horizontal="right" vertical="center"/>
    </xf>
    <xf borderId="0" fillId="0" fontId="24" numFmtId="169" xfId="0" applyAlignment="1" applyFont="1" applyNumberFormat="1">
      <alignment horizontal="right" vertical="center"/>
    </xf>
    <xf borderId="7" fillId="0" fontId="11" numFmtId="167" xfId="0" applyAlignment="1" applyBorder="1" applyFont="1" applyNumberFormat="1">
      <alignment horizontal="right" vertical="center"/>
    </xf>
    <xf borderId="8" fillId="0" fontId="11" numFmtId="167" xfId="0" applyAlignment="1" applyBorder="1" applyFont="1" applyNumberFormat="1">
      <alignment horizontal="right" vertical="center"/>
    </xf>
    <xf borderId="9" fillId="0" fontId="11" numFmtId="167" xfId="0" applyAlignment="1" applyBorder="1" applyFont="1" applyNumberFormat="1">
      <alignment horizontal="right" vertical="center"/>
    </xf>
    <xf borderId="0" fillId="0" fontId="13" numFmtId="165" xfId="0" applyAlignment="1" applyFont="1" applyNumberFormat="1">
      <alignment horizontal="right"/>
    </xf>
    <xf borderId="17" fillId="0" fontId="12" numFmtId="164" xfId="0" applyAlignment="1" applyBorder="1" applyFont="1" applyNumberFormat="1">
      <alignment horizontal="right" vertical="center"/>
    </xf>
    <xf borderId="18" fillId="0" fontId="12" numFmtId="164" xfId="0" applyAlignment="1" applyBorder="1" applyFont="1" applyNumberFormat="1">
      <alignment horizontal="right" vertical="center"/>
    </xf>
    <xf borderId="19" fillId="0" fontId="12" numFmtId="164" xfId="0" applyAlignment="1" applyBorder="1" applyFont="1" applyNumberFormat="1">
      <alignment horizontal="right" vertical="center"/>
    </xf>
    <xf borderId="7" fillId="0" fontId="11" numFmtId="164" xfId="0" applyAlignment="1" applyBorder="1" applyFont="1" applyNumberFormat="1">
      <alignment horizontal="right" vertical="center"/>
    </xf>
    <xf borderId="8" fillId="0" fontId="11" numFmtId="164" xfId="0" applyAlignment="1" applyBorder="1" applyFont="1" applyNumberFormat="1">
      <alignment horizontal="right" vertical="center"/>
    </xf>
    <xf borderId="9" fillId="0" fontId="11" numFmtId="164" xfId="0" applyAlignment="1" applyBorder="1" applyFont="1" applyNumberFormat="1">
      <alignment horizontal="right" vertical="center"/>
    </xf>
    <xf borderId="26" fillId="0" fontId="9" numFmtId="0" xfId="0" applyBorder="1" applyFont="1"/>
    <xf borderId="27" fillId="0" fontId="9" numFmtId="0" xfId="0" applyBorder="1" applyFont="1"/>
    <xf borderId="28" fillId="0" fontId="9" numFmtId="0" xfId="0" applyBorder="1" applyFont="1"/>
    <xf borderId="29" fillId="0" fontId="9" numFmtId="0" xfId="0" applyBorder="1" applyFont="1"/>
    <xf borderId="30" fillId="0" fontId="9" numFmtId="0" xfId="0" applyBorder="1" applyFont="1"/>
    <xf borderId="11" fillId="0" fontId="9" numFmtId="0" xfId="0" applyBorder="1" applyFont="1"/>
    <xf borderId="12" fillId="0" fontId="9" numFmtId="0" xfId="0" applyBorder="1" applyFont="1"/>
    <xf borderId="14" fillId="0" fontId="9" numFmtId="0" xfId="0" applyBorder="1" applyFont="1"/>
    <xf borderId="13" fillId="0" fontId="20" numFmtId="164" xfId="0" applyAlignment="1" applyBorder="1" applyFont="1" applyNumberFormat="1">
      <alignment horizontal="right" vertical="center"/>
    </xf>
    <xf borderId="0" fillId="0" fontId="17" numFmtId="168" xfId="0" applyAlignment="1" applyFont="1" applyNumberFormat="1">
      <alignment horizontal="right" vertical="center"/>
    </xf>
    <xf borderId="0" fillId="0" fontId="11" numFmtId="168" xfId="0" applyAlignment="1" applyFont="1" applyNumberFormat="1">
      <alignment horizontal="right" vertical="center"/>
    </xf>
    <xf borderId="7" fillId="0" fontId="11" numFmtId="168" xfId="0" applyAlignment="1" applyBorder="1" applyFont="1" applyNumberFormat="1">
      <alignment horizontal="right" vertical="center"/>
    </xf>
    <xf borderId="8" fillId="0" fontId="11" numFmtId="168" xfId="0" applyAlignment="1" applyBorder="1" applyFont="1" applyNumberFormat="1">
      <alignment horizontal="right" vertical="center"/>
    </xf>
    <xf borderId="10" fillId="0" fontId="20" numFmtId="165" xfId="0" applyAlignment="1" applyBorder="1" applyFont="1" applyNumberFormat="1">
      <alignment horizontal="right" vertical="center"/>
    </xf>
    <xf borderId="9" fillId="0" fontId="11" numFmtId="168" xfId="0" applyAlignment="1" applyBorder="1" applyFont="1" applyNumberFormat="1">
      <alignment horizontal="right" vertical="center"/>
    </xf>
    <xf borderId="7" fillId="0" fontId="20" numFmtId="168" xfId="0" applyAlignment="1" applyBorder="1" applyFont="1" applyNumberFormat="1">
      <alignment horizontal="right" vertical="center"/>
    </xf>
    <xf borderId="8" fillId="0" fontId="20" numFmtId="168" xfId="0" applyAlignment="1" applyBorder="1" applyFont="1" applyNumberFormat="1">
      <alignment horizontal="right" vertical="center"/>
    </xf>
    <xf borderId="9" fillId="0" fontId="20" numFmtId="168" xfId="0" applyAlignment="1" applyBorder="1" applyFont="1" applyNumberFormat="1">
      <alignment horizontal="right" vertical="center"/>
    </xf>
    <xf borderId="20" fillId="0" fontId="12" numFmtId="168" xfId="0" applyAlignment="1" applyBorder="1" applyFont="1" applyNumberFormat="1">
      <alignment horizontal="right" vertical="center"/>
    </xf>
    <xf borderId="13" fillId="0" fontId="12" numFmtId="168" xfId="0" applyAlignment="1" applyBorder="1" applyFont="1" applyNumberFormat="1">
      <alignment horizontal="right" vertical="center"/>
    </xf>
    <xf borderId="10" fillId="0" fontId="20" numFmtId="164" xfId="0" applyAlignment="1" applyBorder="1" applyFont="1" applyNumberFormat="1">
      <alignment horizontal="right" vertical="center"/>
    </xf>
    <xf borderId="0" fillId="0" fontId="17" numFmtId="166" xfId="0" applyAlignment="1" applyFont="1" applyNumberFormat="1">
      <alignment horizontal="right" vertical="center"/>
    </xf>
    <xf borderId="15" fillId="0" fontId="12" numFmtId="165" xfId="0" applyAlignment="1" applyBorder="1" applyFont="1" applyNumberFormat="1">
      <alignment horizontal="right" vertical="center"/>
    </xf>
    <xf borderId="0" fillId="0" fontId="17" numFmtId="170" xfId="0" applyAlignment="1" applyFont="1" applyNumberFormat="1">
      <alignment horizontal="right" vertical="center"/>
    </xf>
    <xf borderId="0" fillId="0" fontId="20" numFmtId="165" xfId="0" applyAlignment="1" applyFont="1" applyNumberFormat="1">
      <alignment horizontal="right" vertical="center"/>
    </xf>
    <xf borderId="4" fillId="0" fontId="12" numFmtId="165" xfId="0" applyAlignment="1" applyBorder="1" applyFont="1" applyNumberFormat="1">
      <alignment horizontal="right" vertical="center"/>
    </xf>
    <xf borderId="5" fillId="0" fontId="12" numFmtId="165" xfId="0" applyAlignment="1" applyBorder="1" applyFont="1" applyNumberFormat="1">
      <alignment horizontal="right" vertical="center"/>
    </xf>
    <xf borderId="6" fillId="0" fontId="12" numFmtId="165" xfId="0" applyAlignment="1" applyBorder="1" applyFont="1" applyNumberFormat="1">
      <alignment horizontal="right" vertical="center"/>
    </xf>
    <xf borderId="4" fillId="0" fontId="17" numFmtId="170" xfId="0" applyAlignment="1" applyBorder="1" applyFont="1" applyNumberFormat="1">
      <alignment horizontal="right" vertical="center"/>
    </xf>
    <xf borderId="5" fillId="0" fontId="17" numFmtId="170" xfId="0" applyAlignment="1" applyBorder="1" applyFont="1" applyNumberFormat="1">
      <alignment horizontal="right" vertical="center"/>
    </xf>
    <xf borderId="6" fillId="0" fontId="17" numFmtId="170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0</xdr:row>
      <xdr:rowOff>0</xdr:rowOff>
    </xdr:from>
    <xdr:ext cx="4876800" cy="3248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60.0"/>
    <col customWidth="1" min="3" max="26" width="8.71"/>
  </cols>
  <sheetData>
    <row r="3">
      <c r="B3" s="1" t="s">
        <v>0</v>
      </c>
    </row>
    <row r="5">
      <c r="B5" s="2" t="s">
        <v>1</v>
      </c>
    </row>
    <row r="6">
      <c r="B6" s="3" t="s">
        <v>2</v>
      </c>
    </row>
    <row r="9">
      <c r="B9" s="4" t="s">
        <v>3</v>
      </c>
    </row>
    <row r="10">
      <c r="B10" s="5" t="s">
        <v>4</v>
      </c>
    </row>
    <row r="12">
      <c r="B12" s="4" t="s">
        <v>6</v>
      </c>
    </row>
    <row r="13">
      <c r="B13" s="5" t="s">
        <v>7</v>
      </c>
    </row>
    <row r="14">
      <c r="B14" s="5" t="s">
        <v>8</v>
      </c>
    </row>
    <row r="16">
      <c r="B16" s="7" t="s">
        <v>9</v>
      </c>
    </row>
    <row r="19">
      <c r="B19" s="4" t="s">
        <v>11</v>
      </c>
    </row>
    <row r="20">
      <c r="B20" s="9" t="s">
        <v>12</v>
      </c>
      <c r="C20" s="11" t="s">
        <v>14</v>
      </c>
    </row>
    <row r="21" ht="15.75" customHeight="1">
      <c r="B21" s="9" t="s">
        <v>16</v>
      </c>
      <c r="C21" s="9" t="s">
        <v>17</v>
      </c>
    </row>
    <row r="22" ht="15.75" customHeight="1">
      <c r="B22" s="9" t="s">
        <v>18</v>
      </c>
      <c r="C22" s="14" t="s">
        <v>20</v>
      </c>
    </row>
    <row r="23" ht="15.75" customHeight="1"/>
    <row r="24" ht="15.75" customHeight="1"/>
    <row r="25" ht="15.75" customHeight="1">
      <c r="B25" s="16" t="s">
        <v>23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8.0"/>
    <col customWidth="1" min="3" max="11" width="11.43"/>
    <col customWidth="1" min="12" max="26" width="8.71"/>
  </cols>
  <sheetData>
    <row r="2">
      <c r="B2" s="33" t="s">
        <v>283</v>
      </c>
    </row>
    <row r="3">
      <c r="B3" s="16" t="s">
        <v>27</v>
      </c>
    </row>
    <row r="5">
      <c r="C5" s="17" t="s">
        <v>89</v>
      </c>
      <c r="D5" s="18"/>
      <c r="E5" s="18"/>
      <c r="F5" s="18"/>
      <c r="G5" s="17" t="s">
        <v>90</v>
      </c>
      <c r="H5" s="18"/>
      <c r="I5" s="18"/>
      <c r="J5" s="18"/>
      <c r="K5" s="18"/>
    </row>
    <row r="6">
      <c r="C6" s="21" t="s">
        <v>50</v>
      </c>
      <c r="D6" s="21" t="s">
        <v>53</v>
      </c>
      <c r="E6" s="21" t="s">
        <v>56</v>
      </c>
      <c r="F6" s="21" t="s">
        <v>59</v>
      </c>
      <c r="G6" s="21" t="s">
        <v>61</v>
      </c>
      <c r="H6" s="21" t="s">
        <v>63</v>
      </c>
      <c r="I6" s="21" t="s">
        <v>67</v>
      </c>
      <c r="J6" s="21" t="s">
        <v>70</v>
      </c>
      <c r="K6" s="21" t="s">
        <v>72</v>
      </c>
    </row>
    <row r="7">
      <c r="B7" s="24" t="s">
        <v>285</v>
      </c>
    </row>
    <row r="8">
      <c r="B8" s="20" t="s">
        <v>286</v>
      </c>
      <c r="D8" s="42">
        <f t="shared" ref="D8:K8" si="1">C14</f>
        <v>323.165</v>
      </c>
      <c r="E8" s="42">
        <f t="shared" si="1"/>
        <v>385.541</v>
      </c>
      <c r="F8" s="42">
        <f t="shared" si="1"/>
        <v>401.129</v>
      </c>
      <c r="G8" s="42">
        <f t="shared" si="1"/>
        <v>418.449</v>
      </c>
      <c r="H8" s="42">
        <f t="shared" si="1"/>
        <v>435.449</v>
      </c>
      <c r="I8" s="42">
        <f t="shared" si="1"/>
        <v>452.449</v>
      </c>
      <c r="J8" s="42">
        <f t="shared" si="1"/>
        <v>469.449</v>
      </c>
      <c r="K8" s="42">
        <f t="shared" si="1"/>
        <v>486.449</v>
      </c>
    </row>
    <row r="9">
      <c r="B9" s="20" t="s">
        <v>287</v>
      </c>
      <c r="C9" s="25">
        <v>0.0</v>
      </c>
      <c r="D9" s="25">
        <v>62.37599999999998</v>
      </c>
      <c r="E9" s="25">
        <v>15.58800000000002</v>
      </c>
      <c r="F9" s="25">
        <v>17.31999999999999</v>
      </c>
      <c r="G9" s="134">
        <v>17.0</v>
      </c>
      <c r="H9" s="135">
        <v>17.0</v>
      </c>
      <c r="I9" s="135">
        <v>17.0</v>
      </c>
      <c r="J9" s="135">
        <v>17.0</v>
      </c>
      <c r="K9" s="136">
        <v>17.0</v>
      </c>
      <c r="L9" s="32" t="s">
        <v>95</v>
      </c>
    </row>
    <row r="10">
      <c r="B10" s="20" t="s">
        <v>288</v>
      </c>
      <c r="D10" s="25">
        <v>0.0</v>
      </c>
      <c r="E10" s="25">
        <v>0.0</v>
      </c>
      <c r="F10" s="25">
        <v>0.0</v>
      </c>
      <c r="G10" s="25">
        <v>0.0</v>
      </c>
      <c r="H10" s="25">
        <v>0.0</v>
      </c>
      <c r="I10" s="25">
        <v>0.0</v>
      </c>
      <c r="J10" s="25">
        <v>0.0</v>
      </c>
      <c r="K10" s="25">
        <v>0.0</v>
      </c>
    </row>
    <row r="11">
      <c r="B11" s="137"/>
      <c r="C11" s="138"/>
      <c r="D11" s="138"/>
      <c r="E11" s="138"/>
      <c r="F11" s="138"/>
      <c r="G11" s="138"/>
      <c r="H11" s="138"/>
      <c r="I11" s="138"/>
      <c r="J11" s="138"/>
      <c r="K11" s="139"/>
      <c r="L11" s="32" t="s">
        <v>289</v>
      </c>
    </row>
    <row r="12">
      <c r="B12" s="140"/>
      <c r="K12" s="141"/>
      <c r="L12" s="32" t="s">
        <v>289</v>
      </c>
    </row>
    <row r="13">
      <c r="B13" s="142"/>
      <c r="C13" s="143"/>
      <c r="D13" s="143"/>
      <c r="E13" s="143"/>
      <c r="F13" s="143"/>
      <c r="G13" s="143"/>
      <c r="H13" s="143"/>
      <c r="I13" s="143"/>
      <c r="J13" s="143"/>
      <c r="K13" s="144"/>
      <c r="L13" s="32" t="s">
        <v>289</v>
      </c>
    </row>
    <row r="14">
      <c r="B14" s="12" t="s">
        <v>290</v>
      </c>
      <c r="C14" s="145">
        <v>323.165</v>
      </c>
      <c r="D14" s="145">
        <v>385.541</v>
      </c>
      <c r="E14" s="145">
        <v>401.129</v>
      </c>
      <c r="F14" s="145">
        <v>418.449</v>
      </c>
      <c r="G14" s="58">
        <f t="shared" ref="G14:K14" si="2">G8+G9+G10</f>
        <v>435.449</v>
      </c>
      <c r="H14" s="58">
        <f t="shared" si="2"/>
        <v>452.449</v>
      </c>
      <c r="I14" s="58">
        <f t="shared" si="2"/>
        <v>469.449</v>
      </c>
      <c r="J14" s="58">
        <f t="shared" si="2"/>
        <v>486.449</v>
      </c>
      <c r="K14" s="58">
        <f t="shared" si="2"/>
        <v>503.449</v>
      </c>
    </row>
    <row r="16">
      <c r="B16" s="24" t="s">
        <v>292</v>
      </c>
    </row>
    <row r="17">
      <c r="B17" s="20" t="s">
        <v>293</v>
      </c>
      <c r="D17" s="42">
        <f t="shared" ref="D17:K17" si="3">C20</f>
        <v>277.407</v>
      </c>
      <c r="E17" s="42">
        <f t="shared" si="3"/>
        <v>344.781</v>
      </c>
      <c r="F17" s="42">
        <f t="shared" si="3"/>
        <v>418.108</v>
      </c>
      <c r="G17" s="42">
        <f t="shared" si="3"/>
        <v>503.583</v>
      </c>
      <c r="H17" s="42">
        <f t="shared" si="3"/>
        <v>598.0749153</v>
      </c>
      <c r="I17" s="42">
        <f t="shared" si="3"/>
        <v>703.308162</v>
      </c>
      <c r="J17" s="42">
        <f t="shared" si="3"/>
        <v>819.9545543</v>
      </c>
      <c r="K17" s="42">
        <f t="shared" si="3"/>
        <v>946.9997743</v>
      </c>
    </row>
    <row r="18">
      <c r="B18" s="20" t="s">
        <v>296</v>
      </c>
      <c r="C18" s="27">
        <f>is!C43</f>
        <v>105.717</v>
      </c>
      <c r="D18" s="27">
        <f>is!D43</f>
        <v>110.208</v>
      </c>
      <c r="E18" s="27">
        <f>is!E43</f>
        <v>118.507</v>
      </c>
      <c r="F18" s="27">
        <f>is!F43</f>
        <v>135.854</v>
      </c>
      <c r="G18" s="27">
        <f>is!G43</f>
        <v>157.4865255</v>
      </c>
      <c r="H18" s="27">
        <f>is!H43</f>
        <v>175.3887446</v>
      </c>
      <c r="I18" s="27">
        <f>is!I43</f>
        <v>194.4106538</v>
      </c>
      <c r="J18" s="27">
        <f>is!J43</f>
        <v>211.7420334</v>
      </c>
      <c r="K18" s="27">
        <f>is!K43</f>
        <v>231.2742468</v>
      </c>
    </row>
    <row r="19">
      <c r="B19" s="20" t="s">
        <v>301</v>
      </c>
      <c r="C19" s="25">
        <v>-39.717</v>
      </c>
      <c r="D19" s="25">
        <v>-42.834</v>
      </c>
      <c r="E19" s="25">
        <v>-45.18</v>
      </c>
      <c r="F19" s="25">
        <v>-50.379</v>
      </c>
      <c r="G19" s="67">
        <f t="shared" ref="G19:K19" si="4">-G18*0.4</f>
        <v>-62.99461018</v>
      </c>
      <c r="H19" s="68">
        <f t="shared" si="4"/>
        <v>-70.15549783</v>
      </c>
      <c r="I19" s="68">
        <f t="shared" si="4"/>
        <v>-77.76426153</v>
      </c>
      <c r="J19" s="68">
        <f t="shared" si="4"/>
        <v>-84.69681336</v>
      </c>
      <c r="K19" s="71">
        <f t="shared" si="4"/>
        <v>-92.50969873</v>
      </c>
      <c r="L19" s="32" t="s">
        <v>106</v>
      </c>
    </row>
    <row r="20">
      <c r="B20" s="12" t="s">
        <v>304</v>
      </c>
      <c r="C20" s="75">
        <v>277.407</v>
      </c>
      <c r="D20" s="75">
        <v>344.781</v>
      </c>
      <c r="E20" s="75">
        <v>418.108</v>
      </c>
      <c r="F20" s="75">
        <v>503.583</v>
      </c>
      <c r="G20" s="58">
        <f t="shared" ref="G20:K20" si="5">G17+G18+G19</f>
        <v>598.0749153</v>
      </c>
      <c r="H20" s="58">
        <f t="shared" si="5"/>
        <v>703.308162</v>
      </c>
      <c r="I20" s="58">
        <f t="shared" si="5"/>
        <v>819.9545543</v>
      </c>
      <c r="J20" s="58">
        <f t="shared" si="5"/>
        <v>946.9997743</v>
      </c>
      <c r="K20" s="58">
        <f t="shared" si="5"/>
        <v>1085.764322</v>
      </c>
    </row>
    <row r="21" ht="15.75" customHeight="1"/>
    <row r="22" ht="15.75" customHeight="1">
      <c r="B22" s="24" t="s">
        <v>307</v>
      </c>
    </row>
    <row r="23" ht="15.75" customHeight="1">
      <c r="B23" s="20" t="s">
        <v>308</v>
      </c>
      <c r="C23" s="40">
        <f t="shared" ref="C23:F23" si="6">-C19/C18</f>
        <v>0.3756917052</v>
      </c>
      <c r="D23" s="40">
        <f t="shared" si="6"/>
        <v>0.3886650697</v>
      </c>
      <c r="E23" s="40">
        <f t="shared" si="6"/>
        <v>0.3812433021</v>
      </c>
      <c r="F23" s="40">
        <f t="shared" si="6"/>
        <v>0.3708319225</v>
      </c>
      <c r="G23" s="117">
        <v>0.4</v>
      </c>
      <c r="H23" s="118">
        <v>0.4</v>
      </c>
      <c r="I23" s="118">
        <v>0.4</v>
      </c>
      <c r="J23" s="118">
        <v>0.4</v>
      </c>
      <c r="K23" s="119">
        <v>0.4</v>
      </c>
      <c r="L23" s="32" t="s">
        <v>95</v>
      </c>
    </row>
    <row r="24" ht="15.75" customHeight="1">
      <c r="B24" s="20" t="s">
        <v>310</v>
      </c>
      <c r="C24" s="146">
        <f>-C19/is!C48</f>
        <v>0.282896705</v>
      </c>
      <c r="D24" s="146">
        <f>-D19/is!D48</f>
        <v>0.297716768</v>
      </c>
      <c r="E24" s="146">
        <f>-E19/is!E48</f>
        <v>0.3118572</v>
      </c>
      <c r="F24" s="146">
        <f>-F19/is!F48</f>
        <v>0.3448726725</v>
      </c>
      <c r="G24" s="146">
        <f>-G19/is!G48</f>
        <v>0.4299438089</v>
      </c>
      <c r="H24" s="146">
        <f>-H19/is!H48</f>
        <v>0.477385347</v>
      </c>
      <c r="I24" s="146">
        <f>-I19/is!I48</f>
        <v>0.5275777762</v>
      </c>
      <c r="J24" s="146">
        <f>-J19/is!J48</f>
        <v>0.5728917635</v>
      </c>
      <c r="K24" s="146">
        <f>-K19/is!K48</f>
        <v>0.6238667522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5:F5"/>
    <mergeCell ref="G5:K5"/>
  </mergeCells>
  <printOptions/>
  <pageMargins bottom="1.0" footer="0.0" header="0.0" left="0.75" right="0.75" top="1.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8.0"/>
    <col customWidth="1" min="3" max="11" width="11.43"/>
    <col customWidth="1" min="12" max="26" width="8.71"/>
  </cols>
  <sheetData>
    <row r="2">
      <c r="B2" s="33" t="s">
        <v>291</v>
      </c>
    </row>
    <row r="3">
      <c r="B3" s="16" t="s">
        <v>294</v>
      </c>
    </row>
    <row r="5">
      <c r="C5" s="17" t="s">
        <v>89</v>
      </c>
      <c r="D5" s="18"/>
      <c r="E5" s="18"/>
      <c r="F5" s="18"/>
      <c r="G5" s="17" t="s">
        <v>90</v>
      </c>
      <c r="H5" s="18"/>
      <c r="I5" s="18"/>
      <c r="J5" s="18"/>
      <c r="K5" s="18"/>
    </row>
    <row r="6">
      <c r="C6" s="21" t="s">
        <v>50</v>
      </c>
      <c r="D6" s="21" t="s">
        <v>53</v>
      </c>
      <c r="E6" s="21" t="s">
        <v>56</v>
      </c>
      <c r="F6" s="21" t="s">
        <v>59</v>
      </c>
      <c r="G6" s="21" t="s">
        <v>61</v>
      </c>
      <c r="H6" s="21" t="s">
        <v>63</v>
      </c>
      <c r="I6" s="21" t="s">
        <v>67</v>
      </c>
      <c r="J6" s="21" t="s">
        <v>70</v>
      </c>
      <c r="K6" s="21" t="s">
        <v>72</v>
      </c>
    </row>
    <row r="7">
      <c r="B7" s="24" t="s">
        <v>297</v>
      </c>
    </row>
    <row r="8">
      <c r="B8" s="20" t="s">
        <v>298</v>
      </c>
      <c r="D8" s="146">
        <f t="shared" ref="D8:K8" si="1">C11</f>
        <v>139.36</v>
      </c>
      <c r="E8" s="146">
        <f t="shared" si="1"/>
        <v>142.781</v>
      </c>
      <c r="F8" s="146">
        <f t="shared" si="1"/>
        <v>143.431</v>
      </c>
      <c r="G8" s="146">
        <f t="shared" si="1"/>
        <v>143.942</v>
      </c>
      <c r="H8" s="146">
        <f t="shared" si="1"/>
        <v>144.442</v>
      </c>
      <c r="I8" s="146">
        <f t="shared" si="1"/>
        <v>144.942</v>
      </c>
      <c r="J8" s="146">
        <f t="shared" si="1"/>
        <v>145.442</v>
      </c>
      <c r="K8" s="146">
        <f t="shared" si="1"/>
        <v>145.942</v>
      </c>
    </row>
    <row r="9">
      <c r="B9" s="20" t="s">
        <v>302</v>
      </c>
      <c r="D9" s="147">
        <v>3.421</v>
      </c>
      <c r="E9" s="147">
        <v>0.65</v>
      </c>
      <c r="F9" s="147">
        <v>0.511</v>
      </c>
      <c r="G9" s="148">
        <v>0.5</v>
      </c>
      <c r="H9" s="149">
        <v>0.5</v>
      </c>
      <c r="I9" s="149">
        <v>0.5</v>
      </c>
      <c r="J9" s="149">
        <v>0.5</v>
      </c>
      <c r="K9" s="151">
        <v>0.5</v>
      </c>
      <c r="L9" s="32" t="s">
        <v>95</v>
      </c>
    </row>
    <row r="10">
      <c r="B10" s="20" t="s">
        <v>306</v>
      </c>
      <c r="D10" s="147">
        <v>0.0</v>
      </c>
      <c r="E10" s="147">
        <v>0.0</v>
      </c>
      <c r="F10" s="147">
        <v>0.0</v>
      </c>
      <c r="G10" s="147">
        <v>0.0</v>
      </c>
      <c r="H10" s="147">
        <v>0.0</v>
      </c>
      <c r="I10" s="147">
        <v>0.0</v>
      </c>
      <c r="J10" s="147">
        <v>0.0</v>
      </c>
      <c r="K10" s="147">
        <v>0.0</v>
      </c>
    </row>
    <row r="11">
      <c r="B11" s="12" t="s">
        <v>309</v>
      </c>
      <c r="C11" s="152">
        <v>139.36</v>
      </c>
      <c r="D11" s="153">
        <v>142.781</v>
      </c>
      <c r="E11" s="153">
        <v>143.431</v>
      </c>
      <c r="F11" s="154">
        <v>143.942</v>
      </c>
      <c r="G11" s="155">
        <f t="shared" ref="G11:K11" si="2">G8+G9+G10</f>
        <v>144.442</v>
      </c>
      <c r="H11" s="155">
        <f t="shared" si="2"/>
        <v>144.942</v>
      </c>
      <c r="I11" s="155">
        <f t="shared" si="2"/>
        <v>145.442</v>
      </c>
      <c r="J11" s="155">
        <f t="shared" si="2"/>
        <v>145.942</v>
      </c>
      <c r="K11" s="155">
        <f t="shared" si="2"/>
        <v>146.442</v>
      </c>
    </row>
    <row r="13">
      <c r="B13" s="24" t="s">
        <v>311</v>
      </c>
    </row>
    <row r="14">
      <c r="B14" s="20" t="s">
        <v>312</v>
      </c>
      <c r="C14" s="147">
        <v>139.294</v>
      </c>
      <c r="D14" s="147">
        <v>142.696</v>
      </c>
      <c r="E14" s="147">
        <v>143.309</v>
      </c>
      <c r="F14" s="147">
        <v>143.84</v>
      </c>
      <c r="G14" s="146">
        <f t="shared" ref="G14:K14" si="3">AVERAGE(F11,G11)</f>
        <v>144.192</v>
      </c>
      <c r="H14" s="146">
        <f t="shared" si="3"/>
        <v>144.692</v>
      </c>
      <c r="I14" s="146">
        <f t="shared" si="3"/>
        <v>145.192</v>
      </c>
      <c r="J14" s="146">
        <f t="shared" si="3"/>
        <v>145.692</v>
      </c>
      <c r="K14" s="146">
        <f t="shared" si="3"/>
        <v>146.192</v>
      </c>
    </row>
    <row r="15">
      <c r="B15" s="20" t="s">
        <v>313</v>
      </c>
      <c r="C15" s="147">
        <v>1.099999999999994</v>
      </c>
      <c r="D15" s="147">
        <v>1.179000000000002</v>
      </c>
      <c r="E15" s="147">
        <v>1.564999999999998</v>
      </c>
      <c r="F15" s="147">
        <v>2.240000000000009</v>
      </c>
      <c r="G15" s="148">
        <v>2.0</v>
      </c>
      <c r="H15" s="149">
        <v>2.0</v>
      </c>
      <c r="I15" s="149">
        <v>2.0</v>
      </c>
      <c r="J15" s="149">
        <v>2.0</v>
      </c>
      <c r="K15" s="151">
        <v>2.0</v>
      </c>
      <c r="L15" s="32" t="s">
        <v>95</v>
      </c>
    </row>
    <row r="16">
      <c r="B16" s="12" t="s">
        <v>314</v>
      </c>
      <c r="C16" s="155">
        <f t="shared" ref="C16:K16" si="4">C14+C15</f>
        <v>140.394</v>
      </c>
      <c r="D16" s="155">
        <f t="shared" si="4"/>
        <v>143.875</v>
      </c>
      <c r="E16" s="155">
        <f t="shared" si="4"/>
        <v>144.874</v>
      </c>
      <c r="F16" s="155">
        <f t="shared" si="4"/>
        <v>146.08</v>
      </c>
      <c r="G16" s="156">
        <f t="shared" si="4"/>
        <v>146.192</v>
      </c>
      <c r="H16" s="156">
        <f t="shared" si="4"/>
        <v>146.692</v>
      </c>
      <c r="I16" s="156">
        <f t="shared" si="4"/>
        <v>147.192</v>
      </c>
      <c r="J16" s="156">
        <f t="shared" si="4"/>
        <v>147.692</v>
      </c>
      <c r="K16" s="156">
        <f t="shared" si="4"/>
        <v>148.192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5:F5"/>
    <mergeCell ref="G5:K5"/>
  </mergeCells>
  <printOptions/>
  <pageMargins bottom="1.0" footer="0.0" header="0.0" left="0.75" right="0.75" top="1.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8.0"/>
    <col customWidth="1" min="3" max="11" width="11.43"/>
    <col customWidth="1" min="12" max="26" width="8.71"/>
  </cols>
  <sheetData>
    <row r="2">
      <c r="B2" s="33" t="s">
        <v>295</v>
      </c>
    </row>
    <row r="3">
      <c r="B3" s="16" t="s">
        <v>27</v>
      </c>
    </row>
    <row r="5">
      <c r="C5" s="17" t="s">
        <v>89</v>
      </c>
      <c r="D5" s="18"/>
      <c r="E5" s="18"/>
      <c r="F5" s="18"/>
      <c r="G5" s="17" t="s">
        <v>90</v>
      </c>
      <c r="H5" s="18"/>
      <c r="I5" s="18"/>
      <c r="J5" s="18"/>
      <c r="K5" s="18"/>
    </row>
    <row r="6">
      <c r="C6" s="21" t="s">
        <v>50</v>
      </c>
      <c r="D6" s="21" t="s">
        <v>53</v>
      </c>
      <c r="E6" s="21" t="s">
        <v>56</v>
      </c>
      <c r="F6" s="21" t="s">
        <v>59</v>
      </c>
      <c r="G6" s="21" t="s">
        <v>61</v>
      </c>
      <c r="H6" s="21" t="s">
        <v>63</v>
      </c>
      <c r="I6" s="21" t="s">
        <v>67</v>
      </c>
      <c r="J6" s="21" t="s">
        <v>70</v>
      </c>
      <c r="K6" s="21" t="s">
        <v>72</v>
      </c>
    </row>
    <row r="7">
      <c r="B7" s="24" t="s">
        <v>299</v>
      </c>
    </row>
    <row r="8">
      <c r="B8" s="20" t="s">
        <v>300</v>
      </c>
      <c r="C8" s="25">
        <v>0.0</v>
      </c>
      <c r="D8" s="42">
        <f t="shared" ref="D8:K8" si="1">C10</f>
        <v>0</v>
      </c>
      <c r="E8" s="42">
        <f t="shared" si="1"/>
        <v>3.245</v>
      </c>
      <c r="F8" s="42">
        <f t="shared" si="1"/>
        <v>2.735</v>
      </c>
      <c r="G8" s="45">
        <f t="shared" si="1"/>
        <v>1.049</v>
      </c>
      <c r="H8" s="45">
        <f t="shared" si="1"/>
        <v>1.049</v>
      </c>
      <c r="I8" s="45">
        <f t="shared" si="1"/>
        <v>1.049</v>
      </c>
      <c r="J8" s="45">
        <f t="shared" si="1"/>
        <v>1.049</v>
      </c>
      <c r="K8" s="45">
        <f t="shared" si="1"/>
        <v>1.049</v>
      </c>
    </row>
    <row r="9">
      <c r="B9" s="20" t="s">
        <v>303</v>
      </c>
      <c r="D9" s="25">
        <v>3.245</v>
      </c>
      <c r="E9" s="25">
        <v>-0.5100000000000002</v>
      </c>
      <c r="F9" s="25">
        <v>-1.686</v>
      </c>
      <c r="G9" s="50">
        <v>0.0</v>
      </c>
      <c r="H9" s="51">
        <v>0.0</v>
      </c>
      <c r="I9" s="51">
        <v>0.0</v>
      </c>
      <c r="J9" s="51">
        <v>0.0</v>
      </c>
      <c r="K9" s="52">
        <v>0.0</v>
      </c>
      <c r="L9" s="32" t="s">
        <v>123</v>
      </c>
    </row>
    <row r="10">
      <c r="B10" s="12" t="s">
        <v>305</v>
      </c>
      <c r="C10" s="150">
        <v>0.0</v>
      </c>
      <c r="D10" s="150">
        <v>3.245</v>
      </c>
      <c r="E10" s="150">
        <v>2.735</v>
      </c>
      <c r="F10" s="150">
        <v>1.049</v>
      </c>
      <c r="G10" s="28">
        <f t="shared" ref="G10:K10" si="2">G8+G9</f>
        <v>1.049</v>
      </c>
      <c r="H10" s="28">
        <f t="shared" si="2"/>
        <v>1.049</v>
      </c>
      <c r="I10" s="28">
        <f t="shared" si="2"/>
        <v>1.049</v>
      </c>
      <c r="J10" s="28">
        <f t="shared" si="2"/>
        <v>1.049</v>
      </c>
      <c r="K10" s="28">
        <f t="shared" si="2"/>
        <v>1.049</v>
      </c>
    </row>
    <row r="12">
      <c r="B12" s="24" t="s">
        <v>209</v>
      </c>
    </row>
    <row r="13">
      <c r="B13" s="20" t="s">
        <v>300</v>
      </c>
      <c r="C13" s="25">
        <v>172.349</v>
      </c>
      <c r="D13" s="42">
        <f t="shared" ref="D13:K13" si="3">C15</f>
        <v>172.349</v>
      </c>
      <c r="E13" s="42">
        <f t="shared" si="3"/>
        <v>202.2</v>
      </c>
      <c r="F13" s="42">
        <f t="shared" si="3"/>
        <v>81.431</v>
      </c>
      <c r="G13" s="45">
        <f t="shared" si="3"/>
        <v>56.234</v>
      </c>
      <c r="H13" s="45">
        <f t="shared" si="3"/>
        <v>47.7989</v>
      </c>
      <c r="I13" s="45">
        <f t="shared" si="3"/>
        <v>40.629065</v>
      </c>
      <c r="J13" s="45">
        <f t="shared" si="3"/>
        <v>34.53470525</v>
      </c>
      <c r="K13" s="45">
        <f t="shared" si="3"/>
        <v>29.35449946</v>
      </c>
    </row>
    <row r="14">
      <c r="B14" s="20" t="s">
        <v>303</v>
      </c>
      <c r="C14" s="25">
        <v>0.0</v>
      </c>
      <c r="D14" s="25">
        <v>29.851</v>
      </c>
      <c r="E14" s="25">
        <v>-120.769</v>
      </c>
      <c r="F14" s="25">
        <v>-25.197</v>
      </c>
      <c r="G14" s="67">
        <f t="shared" ref="G14:K14" si="4">-G13*0.15</f>
        <v>-8.4351</v>
      </c>
      <c r="H14" s="68">
        <f t="shared" si="4"/>
        <v>-7.169835</v>
      </c>
      <c r="I14" s="68">
        <f t="shared" si="4"/>
        <v>-6.09435975</v>
      </c>
      <c r="J14" s="68">
        <f t="shared" si="4"/>
        <v>-5.180205788</v>
      </c>
      <c r="K14" s="71">
        <f t="shared" si="4"/>
        <v>-4.403174919</v>
      </c>
      <c r="L14" s="32" t="s">
        <v>315</v>
      </c>
    </row>
    <row r="15">
      <c r="B15" s="12" t="s">
        <v>305</v>
      </c>
      <c r="C15" s="157">
        <v>172.349</v>
      </c>
      <c r="D15" s="157">
        <v>202.2</v>
      </c>
      <c r="E15" s="157">
        <v>81.431</v>
      </c>
      <c r="F15" s="157">
        <v>56.234</v>
      </c>
      <c r="G15" s="28">
        <f t="shared" ref="G15:K15" si="5">G13+G14</f>
        <v>47.7989</v>
      </c>
      <c r="H15" s="28">
        <f t="shared" si="5"/>
        <v>40.629065</v>
      </c>
      <c r="I15" s="28">
        <f t="shared" si="5"/>
        <v>34.53470525</v>
      </c>
      <c r="J15" s="28">
        <f t="shared" si="5"/>
        <v>29.35449946</v>
      </c>
      <c r="K15" s="28">
        <f t="shared" si="5"/>
        <v>24.95132454</v>
      </c>
    </row>
    <row r="17">
      <c r="B17" s="137"/>
      <c r="C17" s="138"/>
      <c r="D17" s="138"/>
      <c r="E17" s="138"/>
      <c r="F17" s="138"/>
      <c r="G17" s="138"/>
      <c r="H17" s="138"/>
      <c r="I17" s="138"/>
      <c r="J17" s="138"/>
      <c r="K17" s="139"/>
      <c r="L17" s="32" t="s">
        <v>289</v>
      </c>
    </row>
    <row r="18">
      <c r="B18" s="140"/>
      <c r="K18" s="141"/>
      <c r="L18" s="32" t="s">
        <v>289</v>
      </c>
    </row>
    <row r="19">
      <c r="B19" s="140"/>
      <c r="K19" s="141"/>
      <c r="L19" s="32" t="s">
        <v>289</v>
      </c>
    </row>
    <row r="20">
      <c r="B20" s="140"/>
      <c r="K20" s="141"/>
      <c r="L20" s="32" t="s">
        <v>289</v>
      </c>
    </row>
    <row r="21" ht="15.75" customHeight="1">
      <c r="B21" s="142"/>
      <c r="C21" s="143"/>
      <c r="D21" s="143"/>
      <c r="E21" s="143"/>
      <c r="F21" s="143"/>
      <c r="G21" s="143"/>
      <c r="H21" s="143"/>
      <c r="I21" s="143"/>
      <c r="J21" s="143"/>
      <c r="K21" s="144"/>
      <c r="L21" s="32" t="s">
        <v>289</v>
      </c>
    </row>
    <row r="22" ht="15.75" customHeight="1">
      <c r="B22" s="38" t="s">
        <v>320</v>
      </c>
      <c r="C22" s="60">
        <f t="shared" ref="C22:K22" si="6">C10</f>
        <v>0</v>
      </c>
      <c r="D22" s="60">
        <f t="shared" si="6"/>
        <v>3.245</v>
      </c>
      <c r="E22" s="60">
        <f t="shared" si="6"/>
        <v>2.735</v>
      </c>
      <c r="F22" s="60">
        <f t="shared" si="6"/>
        <v>1.049</v>
      </c>
      <c r="G22" s="60">
        <f t="shared" si="6"/>
        <v>1.049</v>
      </c>
      <c r="H22" s="60">
        <f t="shared" si="6"/>
        <v>1.049</v>
      </c>
      <c r="I22" s="60">
        <f t="shared" si="6"/>
        <v>1.049</v>
      </c>
      <c r="J22" s="60">
        <f t="shared" si="6"/>
        <v>1.049</v>
      </c>
      <c r="K22" s="60">
        <f t="shared" si="6"/>
        <v>1.049</v>
      </c>
    </row>
    <row r="23" ht="15.75" customHeight="1">
      <c r="B23" s="38" t="s">
        <v>321</v>
      </c>
      <c r="C23" s="60">
        <f t="shared" ref="C23:K23" si="7">C15</f>
        <v>172.349</v>
      </c>
      <c r="D23" s="60">
        <f t="shared" si="7"/>
        <v>202.2</v>
      </c>
      <c r="E23" s="60">
        <f t="shared" si="7"/>
        <v>81.431</v>
      </c>
      <c r="F23" s="60">
        <f t="shared" si="7"/>
        <v>56.234</v>
      </c>
      <c r="G23" s="60">
        <f t="shared" si="7"/>
        <v>47.7989</v>
      </c>
      <c r="H23" s="60">
        <f t="shared" si="7"/>
        <v>40.629065</v>
      </c>
      <c r="I23" s="60">
        <f t="shared" si="7"/>
        <v>34.53470525</v>
      </c>
      <c r="J23" s="60">
        <f t="shared" si="7"/>
        <v>29.35449946</v>
      </c>
      <c r="K23" s="60">
        <f t="shared" si="7"/>
        <v>24.95132454</v>
      </c>
    </row>
    <row r="24" ht="15.75" customHeight="1"/>
    <row r="25" ht="15.75" customHeight="1">
      <c r="B25" s="24" t="s">
        <v>322</v>
      </c>
    </row>
    <row r="26" ht="15.75" customHeight="1">
      <c r="B26" s="20" t="s">
        <v>323</v>
      </c>
      <c r="C26" s="25">
        <v>12.172</v>
      </c>
      <c r="D26" s="25">
        <v>19.777</v>
      </c>
      <c r="E26" s="25">
        <v>22.02</v>
      </c>
      <c r="F26" s="25">
        <v>24.246</v>
      </c>
      <c r="G26" s="42">
        <f t="shared" ref="G26:K26" si="8">F26</f>
        <v>24.246</v>
      </c>
      <c r="H26" s="42">
        <f t="shared" si="8"/>
        <v>24.246</v>
      </c>
      <c r="I26" s="42">
        <f t="shared" si="8"/>
        <v>24.246</v>
      </c>
      <c r="J26" s="42">
        <f t="shared" si="8"/>
        <v>24.246</v>
      </c>
      <c r="K26" s="42">
        <f t="shared" si="8"/>
        <v>24.246</v>
      </c>
    </row>
    <row r="27" ht="15.75" customHeight="1">
      <c r="B27" s="20" t="s">
        <v>325</v>
      </c>
      <c r="C27" s="25">
        <v>37.643</v>
      </c>
      <c r="D27" s="25">
        <v>55.272</v>
      </c>
      <c r="E27" s="25">
        <v>49.797</v>
      </c>
      <c r="F27" s="25">
        <v>36.935</v>
      </c>
      <c r="G27" s="67">
        <f t="shared" ref="G27:K27" si="9">F27*1.05</f>
        <v>38.78175</v>
      </c>
      <c r="H27" s="68">
        <f t="shared" si="9"/>
        <v>40.7208375</v>
      </c>
      <c r="I27" s="68">
        <f t="shared" si="9"/>
        <v>42.75687938</v>
      </c>
      <c r="J27" s="68">
        <f t="shared" si="9"/>
        <v>44.89472334</v>
      </c>
      <c r="K27" s="71">
        <f t="shared" si="9"/>
        <v>47.13945951</v>
      </c>
      <c r="L27" s="32" t="s">
        <v>106</v>
      </c>
    </row>
    <row r="28" ht="15.75" customHeight="1">
      <c r="B28" s="12" t="s">
        <v>327</v>
      </c>
      <c r="C28" s="43">
        <f t="shared" ref="C28:K28" si="10">C26+C27</f>
        <v>49.815</v>
      </c>
      <c r="D28" s="43">
        <f t="shared" si="10"/>
        <v>75.049</v>
      </c>
      <c r="E28" s="43">
        <f t="shared" si="10"/>
        <v>71.817</v>
      </c>
      <c r="F28" s="43">
        <f t="shared" si="10"/>
        <v>61.181</v>
      </c>
      <c r="G28" s="28">
        <f t="shared" si="10"/>
        <v>63.02775</v>
      </c>
      <c r="H28" s="28">
        <f t="shared" si="10"/>
        <v>64.9668375</v>
      </c>
      <c r="I28" s="28">
        <f t="shared" si="10"/>
        <v>67.00287938</v>
      </c>
      <c r="J28" s="28">
        <f t="shared" si="10"/>
        <v>69.14072334</v>
      </c>
      <c r="K28" s="28">
        <f t="shared" si="10"/>
        <v>71.38545951</v>
      </c>
    </row>
    <row r="29" ht="15.75" customHeight="1"/>
    <row r="30" ht="15.75" customHeight="1">
      <c r="B30" s="38" t="s">
        <v>328</v>
      </c>
      <c r="C30" s="60">
        <f t="shared" ref="C30:K30" si="11">C26</f>
        <v>12.172</v>
      </c>
      <c r="D30" s="60">
        <f t="shared" si="11"/>
        <v>19.777</v>
      </c>
      <c r="E30" s="60">
        <f t="shared" si="11"/>
        <v>22.02</v>
      </c>
      <c r="F30" s="60">
        <f t="shared" si="11"/>
        <v>24.246</v>
      </c>
      <c r="G30" s="60">
        <f t="shared" si="11"/>
        <v>24.246</v>
      </c>
      <c r="H30" s="60">
        <f t="shared" si="11"/>
        <v>24.246</v>
      </c>
      <c r="I30" s="60">
        <f t="shared" si="11"/>
        <v>24.246</v>
      </c>
      <c r="J30" s="60">
        <f t="shared" si="11"/>
        <v>24.246</v>
      </c>
      <c r="K30" s="60">
        <f t="shared" si="11"/>
        <v>24.246</v>
      </c>
    </row>
    <row r="31" ht="15.75" customHeight="1">
      <c r="B31" s="38" t="s">
        <v>330</v>
      </c>
      <c r="C31" s="60">
        <f t="shared" ref="C31:K31" si="12">C27</f>
        <v>37.643</v>
      </c>
      <c r="D31" s="60">
        <f t="shared" si="12"/>
        <v>55.272</v>
      </c>
      <c r="E31" s="60">
        <f t="shared" si="12"/>
        <v>49.797</v>
      </c>
      <c r="F31" s="60">
        <f t="shared" si="12"/>
        <v>36.935</v>
      </c>
      <c r="G31" s="60">
        <f t="shared" si="12"/>
        <v>38.78175</v>
      </c>
      <c r="H31" s="60">
        <f t="shared" si="12"/>
        <v>40.7208375</v>
      </c>
      <c r="I31" s="60">
        <f t="shared" si="12"/>
        <v>42.75687938</v>
      </c>
      <c r="J31" s="60">
        <f t="shared" si="12"/>
        <v>44.89472334</v>
      </c>
      <c r="K31" s="60">
        <f t="shared" si="12"/>
        <v>47.13945951</v>
      </c>
    </row>
    <row r="32" ht="15.75" customHeight="1"/>
    <row r="33" ht="15.75" customHeight="1">
      <c r="B33" s="24" t="s">
        <v>332</v>
      </c>
    </row>
    <row r="34" ht="15.75" customHeight="1">
      <c r="B34" s="20" t="s">
        <v>333</v>
      </c>
      <c r="G34" s="117">
        <v>0.07</v>
      </c>
      <c r="H34" s="118">
        <v>0.07</v>
      </c>
      <c r="I34" s="118">
        <v>0.07</v>
      </c>
      <c r="J34" s="118">
        <v>0.07</v>
      </c>
      <c r="K34" s="119">
        <v>0.07</v>
      </c>
      <c r="L34" s="32" t="s">
        <v>95</v>
      </c>
    </row>
    <row r="35" ht="15.75" customHeight="1">
      <c r="B35" s="20" t="s">
        <v>334</v>
      </c>
      <c r="G35" s="117">
        <v>0.055</v>
      </c>
      <c r="H35" s="118">
        <v>0.055</v>
      </c>
      <c r="I35" s="118">
        <v>0.055</v>
      </c>
      <c r="J35" s="118">
        <v>0.055</v>
      </c>
      <c r="K35" s="119">
        <v>0.055</v>
      </c>
      <c r="L35" s="32" t="s">
        <v>95</v>
      </c>
    </row>
    <row r="36" ht="15.75" customHeight="1">
      <c r="B36" s="20" t="s">
        <v>335</v>
      </c>
      <c r="G36" s="117">
        <v>0.05</v>
      </c>
      <c r="H36" s="118">
        <v>0.05</v>
      </c>
      <c r="I36" s="118">
        <v>0.05</v>
      </c>
      <c r="J36" s="118">
        <v>0.05</v>
      </c>
      <c r="K36" s="119">
        <v>0.05</v>
      </c>
      <c r="L36" s="32" t="s">
        <v>95</v>
      </c>
    </row>
    <row r="37" ht="15.75" customHeight="1">
      <c r="B37" s="20" t="s">
        <v>336</v>
      </c>
      <c r="G37" s="117">
        <v>0.03</v>
      </c>
      <c r="H37" s="118">
        <v>0.03</v>
      </c>
      <c r="I37" s="118">
        <v>0.03</v>
      </c>
      <c r="J37" s="118">
        <v>0.03</v>
      </c>
      <c r="K37" s="119">
        <v>0.03</v>
      </c>
      <c r="L37" s="32" t="s">
        <v>95</v>
      </c>
    </row>
    <row r="38" ht="15.75" customHeight="1"/>
    <row r="39" ht="15.75" customHeight="1">
      <c r="B39" s="24" t="s">
        <v>338</v>
      </c>
    </row>
    <row r="40" ht="15.75" customHeight="1">
      <c r="B40" s="20" t="s">
        <v>339</v>
      </c>
      <c r="C40" s="34">
        <v>0.0</v>
      </c>
      <c r="D40" s="34">
        <v>0.2</v>
      </c>
      <c r="E40" s="34">
        <v>0.2</v>
      </c>
      <c r="F40" s="34">
        <v>0.1</v>
      </c>
      <c r="G40" s="99">
        <f t="shared" ref="G40:K40" si="13">AVERAGE(G8,G10)*G34</f>
        <v>0.07343</v>
      </c>
      <c r="H40" s="99">
        <f t="shared" si="13"/>
        <v>0.07343</v>
      </c>
      <c r="I40" s="99">
        <f t="shared" si="13"/>
        <v>0.07343</v>
      </c>
      <c r="J40" s="99">
        <f t="shared" si="13"/>
        <v>0.07343</v>
      </c>
      <c r="K40" s="99">
        <f t="shared" si="13"/>
        <v>0.07343</v>
      </c>
    </row>
    <row r="41" ht="15.75" customHeight="1">
      <c r="B41" s="20" t="s">
        <v>340</v>
      </c>
      <c r="C41" s="34">
        <v>6.5</v>
      </c>
      <c r="D41" s="34">
        <v>15.8</v>
      </c>
      <c r="E41" s="34">
        <v>16.1</v>
      </c>
      <c r="F41" s="34">
        <v>11.1</v>
      </c>
      <c r="G41" s="99">
        <f t="shared" ref="G41:K41" si="14">AVERAGE(G13,G15)*G35</f>
        <v>2.86090475</v>
      </c>
      <c r="H41" s="99">
        <f t="shared" si="14"/>
        <v>2.431769038</v>
      </c>
      <c r="I41" s="99">
        <f t="shared" si="14"/>
        <v>2.067003682</v>
      </c>
      <c r="J41" s="99">
        <f t="shared" si="14"/>
        <v>1.75695313</v>
      </c>
      <c r="K41" s="99">
        <f t="shared" si="14"/>
        <v>1.49341016</v>
      </c>
    </row>
    <row r="42" ht="15.75" customHeight="1">
      <c r="B42" s="20" t="s">
        <v>342</v>
      </c>
      <c r="C42" s="34">
        <v>0.8</v>
      </c>
      <c r="D42" s="34">
        <v>1.6</v>
      </c>
      <c r="E42" s="34">
        <v>1.6</v>
      </c>
      <c r="F42" s="34">
        <v>1.1</v>
      </c>
      <c r="G42" s="99">
        <f t="shared" ref="G42:K42" si="15">G28*G36</f>
        <v>3.1513875</v>
      </c>
      <c r="H42" s="99">
        <f t="shared" si="15"/>
        <v>3.248341875</v>
      </c>
      <c r="I42" s="99">
        <f t="shared" si="15"/>
        <v>3.350143969</v>
      </c>
      <c r="J42" s="99">
        <f t="shared" si="15"/>
        <v>3.457036167</v>
      </c>
      <c r="K42" s="99">
        <f t="shared" si="15"/>
        <v>3.569272976</v>
      </c>
    </row>
    <row r="43" ht="15.75" customHeight="1"/>
    <row r="44" ht="15.75" customHeight="1"/>
    <row r="45" ht="15.75" customHeight="1">
      <c r="B45" s="12" t="s">
        <v>344</v>
      </c>
      <c r="C45" s="159">
        <f t="shared" ref="C45:K45" si="16">C40+C41+C42</f>
        <v>7.3</v>
      </c>
      <c r="D45" s="159">
        <f t="shared" si="16"/>
        <v>17.6</v>
      </c>
      <c r="E45" s="159">
        <f t="shared" si="16"/>
        <v>17.9</v>
      </c>
      <c r="F45" s="159">
        <f t="shared" si="16"/>
        <v>12.3</v>
      </c>
      <c r="G45" s="159">
        <f t="shared" si="16"/>
        <v>6.08572225</v>
      </c>
      <c r="H45" s="159">
        <f t="shared" si="16"/>
        <v>5.753540913</v>
      </c>
      <c r="I45" s="159">
        <f t="shared" si="16"/>
        <v>5.490577651</v>
      </c>
      <c r="J45" s="159">
        <f t="shared" si="16"/>
        <v>5.287419297</v>
      </c>
      <c r="K45" s="159">
        <f t="shared" si="16"/>
        <v>5.136113136</v>
      </c>
    </row>
    <row r="46" ht="15.75" customHeight="1"/>
    <row r="47" ht="15.75" customHeight="1">
      <c r="B47" s="24" t="s">
        <v>345</v>
      </c>
    </row>
    <row r="48" ht="15.75" customHeight="1">
      <c r="B48" s="20" t="s">
        <v>346</v>
      </c>
      <c r="D48" s="25">
        <v>168.256</v>
      </c>
      <c r="E48" s="25">
        <v>84.155</v>
      </c>
      <c r="F48" s="25">
        <v>137.772</v>
      </c>
      <c r="G48" s="27">
        <f>cf!F31</f>
        <v>105.741</v>
      </c>
      <c r="H48" s="27">
        <f>cf!G31</f>
        <v>315.8885302</v>
      </c>
      <c r="I48" s="27">
        <f>cf!H31</f>
        <v>293.7838704</v>
      </c>
      <c r="J48" s="27">
        <f>cf!I31</f>
        <v>294.689823</v>
      </c>
      <c r="K48" s="27">
        <f>cf!J31</f>
        <v>322.8637792</v>
      </c>
    </row>
    <row r="49" ht="15.75" customHeight="1">
      <c r="B49" s="20" t="s">
        <v>348</v>
      </c>
      <c r="C49" s="27">
        <f>bs!C8</f>
        <v>168.256</v>
      </c>
      <c r="D49" s="27">
        <f>bs!D8</f>
        <v>84.155</v>
      </c>
      <c r="E49" s="27">
        <f>bs!E8</f>
        <v>137.772</v>
      </c>
      <c r="F49" s="27">
        <f>bs!F8</f>
        <v>105.74</v>
      </c>
      <c r="G49" s="27">
        <f>bs!G8</f>
        <v>315.8885302</v>
      </c>
      <c r="H49" s="27">
        <f>bs!H8</f>
        <v>293.7838704</v>
      </c>
      <c r="I49" s="27">
        <f>bs!I8</f>
        <v>294.689823</v>
      </c>
      <c r="J49" s="27">
        <f>bs!J8</f>
        <v>322.8637792</v>
      </c>
      <c r="K49" s="27">
        <f>bs!K8</f>
        <v>372.8150251</v>
      </c>
    </row>
    <row r="50" ht="15.75" customHeight="1">
      <c r="B50" s="20" t="s">
        <v>351</v>
      </c>
      <c r="D50" s="42">
        <f t="shared" ref="D50:K50" si="17">AVERAGE(D48,D49)</f>
        <v>126.2055</v>
      </c>
      <c r="E50" s="42">
        <f t="shared" si="17"/>
        <v>110.9635</v>
      </c>
      <c r="F50" s="42">
        <f t="shared" si="17"/>
        <v>121.756</v>
      </c>
      <c r="G50" s="42">
        <f t="shared" si="17"/>
        <v>210.8147651</v>
      </c>
      <c r="H50" s="42">
        <f t="shared" si="17"/>
        <v>304.8362003</v>
      </c>
      <c r="I50" s="42">
        <f t="shared" si="17"/>
        <v>294.2368467</v>
      </c>
      <c r="J50" s="42">
        <f t="shared" si="17"/>
        <v>308.7768011</v>
      </c>
      <c r="K50" s="42">
        <f t="shared" si="17"/>
        <v>347.8394021</v>
      </c>
    </row>
    <row r="51" ht="15.75" customHeight="1"/>
    <row r="52" ht="15.75" customHeight="1"/>
    <row r="53" ht="15.75" customHeight="1">
      <c r="B53" s="24" t="s">
        <v>257</v>
      </c>
    </row>
    <row r="54" ht="15.75" customHeight="1">
      <c r="B54" s="12" t="s">
        <v>258</v>
      </c>
      <c r="C54" s="28">
        <f t="shared" ref="C54:K54" si="18">C10+C15+C28</f>
        <v>222.164</v>
      </c>
      <c r="D54" s="28">
        <f t="shared" si="18"/>
        <v>280.494</v>
      </c>
      <c r="E54" s="28">
        <f t="shared" si="18"/>
        <v>155.983</v>
      </c>
      <c r="F54" s="28">
        <f t="shared" si="18"/>
        <v>118.464</v>
      </c>
      <c r="G54" s="28">
        <f t="shared" si="18"/>
        <v>111.87565</v>
      </c>
      <c r="H54" s="28">
        <f t="shared" si="18"/>
        <v>106.6449025</v>
      </c>
      <c r="I54" s="28">
        <f t="shared" si="18"/>
        <v>102.5865846</v>
      </c>
      <c r="J54" s="28">
        <f t="shared" si="18"/>
        <v>99.54422281</v>
      </c>
      <c r="K54" s="28">
        <f t="shared" si="18"/>
        <v>97.38578405</v>
      </c>
    </row>
    <row r="55" ht="15.75" customHeight="1">
      <c r="B55" s="20" t="s">
        <v>353</v>
      </c>
      <c r="C55" s="160">
        <f>C54/is!C55</f>
        <v>1.189155627</v>
      </c>
      <c r="D55" s="160">
        <f>D54/is!D55</f>
        <v>1.285708392</v>
      </c>
      <c r="E55" s="160">
        <f>E54/is!E55</f>
        <v>0.6353738116</v>
      </c>
      <c r="F55" s="160">
        <f>F54/is!F55</f>
        <v>0.4356992063</v>
      </c>
      <c r="G55" s="160">
        <f>G54/is!G55</f>
        <v>0.4060279082</v>
      </c>
      <c r="H55" s="160">
        <f>H54/is!H55</f>
        <v>0.343291661</v>
      </c>
      <c r="I55" s="160">
        <f>I54/is!I55</f>
        <v>0.2946452355</v>
      </c>
      <c r="J55" s="160">
        <f>J54/is!J55</f>
        <v>0.2615484154</v>
      </c>
      <c r="K55" s="160">
        <f>K54/is!K55</f>
        <v>0.2354782197</v>
      </c>
    </row>
    <row r="56" ht="15.75" customHeight="1">
      <c r="B56" s="20" t="s">
        <v>356</v>
      </c>
      <c r="C56" s="160">
        <f>is!C55/C45</f>
        <v>25.59246575</v>
      </c>
      <c r="D56" s="160">
        <f>is!D55/D45</f>
        <v>12.395625</v>
      </c>
      <c r="E56" s="160">
        <f>is!E55/E45</f>
        <v>13.71497207</v>
      </c>
      <c r="F56" s="160">
        <f>is!F55/F45</f>
        <v>22.10520325</v>
      </c>
      <c r="G56" s="160">
        <f>is!G55/G45</f>
        <v>45.27594862</v>
      </c>
      <c r="H56" s="160">
        <f>is!H55/H45</f>
        <v>53.99352007</v>
      </c>
      <c r="I56" s="160">
        <f>is!I55/I45</f>
        <v>63.41224231</v>
      </c>
      <c r="J56" s="160">
        <f>is!J55/J45</f>
        <v>71.98138774</v>
      </c>
      <c r="K56" s="160">
        <f>is!K55/K45</f>
        <v>80.52120024</v>
      </c>
    </row>
    <row r="57" ht="15.75" customHeight="1"/>
    <row r="58" ht="15.75" customHeight="1"/>
    <row r="59" ht="15.75" customHeight="1">
      <c r="B59" s="12" t="s">
        <v>358</v>
      </c>
      <c r="C59" s="161">
        <v>0.317</v>
      </c>
      <c r="D59" s="161">
        <v>0.669</v>
      </c>
      <c r="E59" s="161">
        <v>2.431</v>
      </c>
      <c r="F59" s="161">
        <v>1.845</v>
      </c>
      <c r="G59" s="162">
        <f>IF(is!$G$71=1,G50*G37,G48*G37)</f>
        <v>6.324442953</v>
      </c>
      <c r="H59" s="163">
        <f>IF(is!$G$71=1,H50*H37,H48*H37)</f>
        <v>9.145086009</v>
      </c>
      <c r="I59" s="163">
        <f>IF(is!$G$71=1,I50*I37,I48*I37)</f>
        <v>8.8271054</v>
      </c>
      <c r="J59" s="163">
        <f>IF(is!$G$71=1,J50*J37,J48*J37)</f>
        <v>9.263304033</v>
      </c>
      <c r="K59" s="164">
        <f>IF(is!$G$71=1,K50*K37,K48*K37)</f>
        <v>10.43518206</v>
      </c>
      <c r="L59" s="32" t="s">
        <v>315</v>
      </c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5:F5"/>
    <mergeCell ref="G5:K5"/>
  </mergeCells>
  <printOptions/>
  <pageMargins bottom="1.0" footer="0.0" header="0.0" left="0.75" right="0.75" top="1.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8.0"/>
    <col customWidth="1" min="3" max="11" width="11.43"/>
    <col customWidth="1" min="12" max="26" width="8.71"/>
  </cols>
  <sheetData>
    <row r="2">
      <c r="B2" s="33" t="s">
        <v>316</v>
      </c>
    </row>
    <row r="3">
      <c r="B3" s="16" t="s">
        <v>317</v>
      </c>
    </row>
    <row r="5">
      <c r="C5" s="17" t="s">
        <v>89</v>
      </c>
      <c r="D5" s="18"/>
      <c r="E5" s="18"/>
      <c r="F5" s="18"/>
      <c r="G5" s="17" t="s">
        <v>90</v>
      </c>
      <c r="H5" s="18"/>
      <c r="I5" s="18"/>
      <c r="J5" s="18"/>
      <c r="K5" s="18"/>
    </row>
    <row r="6">
      <c r="C6" s="21" t="s">
        <v>50</v>
      </c>
      <c r="D6" s="21" t="s">
        <v>53</v>
      </c>
      <c r="E6" s="21" t="s">
        <v>56</v>
      </c>
      <c r="F6" s="21" t="s">
        <v>59</v>
      </c>
      <c r="G6" s="21" t="s">
        <v>61</v>
      </c>
      <c r="H6" s="21" t="s">
        <v>63</v>
      </c>
      <c r="I6" s="21" t="s">
        <v>67</v>
      </c>
      <c r="J6" s="21" t="s">
        <v>70</v>
      </c>
      <c r="K6" s="21" t="s">
        <v>72</v>
      </c>
    </row>
    <row r="7">
      <c r="B7" s="24" t="s">
        <v>318</v>
      </c>
    </row>
    <row r="8">
      <c r="B8" s="20" t="s">
        <v>319</v>
      </c>
      <c r="D8" s="158">
        <f>is!D8/is!C8-1</f>
        <v>0.04238256616</v>
      </c>
      <c r="E8" s="158">
        <f>is!E8/is!D8-1</f>
        <v>0.03479007192</v>
      </c>
      <c r="F8" s="158">
        <f>is!F8/is!E8-1</f>
        <v>0.108861936</v>
      </c>
      <c r="G8" s="158">
        <f>is!G8/is!F8-1</f>
        <v>0.09</v>
      </c>
      <c r="H8" s="158">
        <f>is!H8/is!G8-1</f>
        <v>0.07</v>
      </c>
      <c r="I8" s="158">
        <f>is!I8/is!H8-1</f>
        <v>0.06</v>
      </c>
      <c r="J8" s="158">
        <f>is!J8/is!I8-1</f>
        <v>0.055</v>
      </c>
      <c r="K8" s="158">
        <f>is!K8/is!J8-1</f>
        <v>0.05</v>
      </c>
    </row>
    <row r="9">
      <c r="B9" s="20" t="s">
        <v>324</v>
      </c>
      <c r="D9" s="158">
        <f>is!D12/is!C12-1</f>
        <v>0.06380456726</v>
      </c>
      <c r="E9" s="158">
        <f>is!E12/is!D12-1</f>
        <v>0.07737038198</v>
      </c>
      <c r="F9" s="158">
        <f>is!F12/is!E12-1</f>
        <v>0.1140863076</v>
      </c>
      <c r="G9" s="158">
        <f>is!G12/is!F12-1</f>
        <v>0.05802537314</v>
      </c>
      <c r="H9" s="158">
        <f>is!H12/is!G12-1</f>
        <v>0.09109859155</v>
      </c>
      <c r="I9" s="158">
        <f>is!I12/is!H12-1</f>
        <v>0.08342541436</v>
      </c>
      <c r="J9" s="158">
        <f>is!J12/is!I12-1</f>
        <v>0.06925675676</v>
      </c>
      <c r="K9" s="158">
        <f>is!K12/is!J12-1</f>
        <v>0.064</v>
      </c>
    </row>
    <row r="10">
      <c r="B10" s="20" t="s">
        <v>326</v>
      </c>
      <c r="D10" s="158">
        <f>is!D55/is!C55-1</f>
        <v>0.1677398635</v>
      </c>
      <c r="E10" s="158">
        <f>is!E55/is!D55-1</f>
        <v>0.1252962235</v>
      </c>
      <c r="F10" s="158">
        <f>is!F55/is!E55-1</f>
        <v>0.1075202242</v>
      </c>
      <c r="G10" s="158">
        <f>is!G55/is!F55-1</f>
        <v>0.0133980445</v>
      </c>
      <c r="H10" s="158">
        <f>is!H55/is!G55-1</f>
        <v>0.1274496644</v>
      </c>
      <c r="I10" s="158">
        <f>is!I55/is!H55-1</f>
        <v>0.1207643312</v>
      </c>
      <c r="J10" s="158">
        <f>is!J55/is!I55-1</f>
        <v>0.09313253012</v>
      </c>
      <c r="K10" s="158">
        <f>is!K55/is!J55-1</f>
        <v>0.08662790698</v>
      </c>
    </row>
    <row r="11">
      <c r="B11" s="20" t="s">
        <v>329</v>
      </c>
      <c r="D11" s="158">
        <f>is!D53/is!C53-1</f>
        <v>0.1001528514</v>
      </c>
      <c r="E11" s="158">
        <f>is!E53/is!D53-1</f>
        <v>0.07959493318</v>
      </c>
      <c r="F11" s="158">
        <f>is!F53/is!E53-1</f>
        <v>0.1015168567</v>
      </c>
      <c r="G11" s="158">
        <f>is!G53/is!F53-1</f>
        <v>0.1036012191</v>
      </c>
      <c r="H11" s="158">
        <f>is!H53/is!G53-1</f>
        <v>0.09772164429</v>
      </c>
      <c r="I11" s="158">
        <f>is!I53/is!H53-1</f>
        <v>0.1083300223</v>
      </c>
      <c r="J11" s="158">
        <f>is!J53/is!I53-1</f>
        <v>0.08654483896</v>
      </c>
      <c r="K11" s="158">
        <f>is!K53/is!J53-1</f>
        <v>0.08774668948</v>
      </c>
    </row>
    <row r="12">
      <c r="B12" s="20" t="s">
        <v>331</v>
      </c>
      <c r="D12" s="158">
        <f>is!D43/is!C43-1</f>
        <v>0.0424813417</v>
      </c>
      <c r="E12" s="158">
        <f>is!E43/is!D43-1</f>
        <v>0.0753030633</v>
      </c>
      <c r="F12" s="158">
        <f>is!F43/is!E43-1</f>
        <v>0.1463795388</v>
      </c>
      <c r="G12" s="158">
        <f>is!G43/is!F43-1</f>
        <v>0.1592336292</v>
      </c>
      <c r="H12" s="158">
        <f>is!H43/is!G43-1</f>
        <v>0.1136746085</v>
      </c>
      <c r="I12" s="158">
        <f>is!I43/is!H43-1</f>
        <v>0.108455701</v>
      </c>
      <c r="J12" s="158">
        <f>is!J43/is!I43-1</f>
        <v>0.08914830144</v>
      </c>
      <c r="K12" s="158">
        <f>is!K43/is!J43-1</f>
        <v>0.09224532858</v>
      </c>
    </row>
    <row r="13">
      <c r="B13" s="20" t="s">
        <v>337</v>
      </c>
      <c r="D13" s="158">
        <f>is!D50/is!C50-1</f>
        <v>0.01725890868</v>
      </c>
      <c r="E13" s="158">
        <f>is!E50/is!D50-1</f>
        <v>0.06788815268</v>
      </c>
      <c r="F13" s="158">
        <f>is!F50/is!E50-1</f>
        <v>0.1369153156</v>
      </c>
      <c r="G13" s="158">
        <f>is!G50/is!F50-1</f>
        <v>0.1557663302</v>
      </c>
      <c r="H13" s="158">
        <f>is!H50/is!G50-1</f>
        <v>0.1103435778</v>
      </c>
      <c r="I13" s="158">
        <f>is!I50/is!H50-1</f>
        <v>0.1051402802</v>
      </c>
      <c r="J13" s="158">
        <f>is!J50/is!I50-1</f>
        <v>0.08589062955</v>
      </c>
      <c r="K13" s="158">
        <f>is!K50/is!J50-1</f>
        <v>0.0889783934</v>
      </c>
    </row>
    <row r="15">
      <c r="B15" s="24" t="s">
        <v>341</v>
      </c>
    </row>
    <row r="16">
      <c r="B16" s="20" t="s">
        <v>343</v>
      </c>
      <c r="C16" s="158">
        <f>is!C12/is!C8</f>
        <v>0.3425862411</v>
      </c>
      <c r="D16" s="158">
        <f>is!D12/is!D8</f>
        <v>0.3496267299</v>
      </c>
      <c r="E16" s="158">
        <f>is!E12/is!E8</f>
        <v>0.3640134301</v>
      </c>
      <c r="F16" s="158">
        <f>is!F12/is!F8</f>
        <v>0.3657284691</v>
      </c>
      <c r="G16" s="158">
        <f>is!G12/is!G8</f>
        <v>0.355</v>
      </c>
      <c r="H16" s="158">
        <f>is!H12/is!H8</f>
        <v>0.362</v>
      </c>
      <c r="I16" s="158">
        <f>is!I12/is!I8</f>
        <v>0.37</v>
      </c>
      <c r="J16" s="158">
        <f>is!J12/is!J8</f>
        <v>0.375</v>
      </c>
      <c r="K16" s="158">
        <f>is!K12/is!K8</f>
        <v>0.38</v>
      </c>
    </row>
    <row r="17">
      <c r="B17" s="20" t="s">
        <v>347</v>
      </c>
      <c r="C17" s="158">
        <f>is!C55/is!C8</f>
        <v>0.1317118772</v>
      </c>
      <c r="D17" s="158">
        <f>is!D55/is!D8</f>
        <v>0.1475515943</v>
      </c>
      <c r="E17" s="158">
        <f>is!E55/is!E8</f>
        <v>0.1604569433</v>
      </c>
      <c r="F17" s="158">
        <f>is!F55/is!F8</f>
        <v>0.160262792</v>
      </c>
      <c r="G17" s="158">
        <f>is!G55/is!G8</f>
        <v>0.149</v>
      </c>
      <c r="H17" s="158">
        <f>is!H55/is!H8</f>
        <v>0.157</v>
      </c>
      <c r="I17" s="158">
        <f>is!I55/is!I8</f>
        <v>0.166</v>
      </c>
      <c r="J17" s="158">
        <f>is!J55/is!J8</f>
        <v>0.172</v>
      </c>
      <c r="K17" s="158">
        <f>is!K55/is!K8</f>
        <v>0.178</v>
      </c>
    </row>
    <row r="18">
      <c r="B18" s="20" t="s">
        <v>349</v>
      </c>
      <c r="C18" s="158">
        <f>is!C53/is!C8</f>
        <v>0.1102347161</v>
      </c>
      <c r="D18" s="158">
        <f>is!D53/is!D8</f>
        <v>0.1163440767</v>
      </c>
      <c r="E18" s="158">
        <f>is!E53/is!E8</f>
        <v>0.1213816011</v>
      </c>
      <c r="F18" s="158">
        <f>is!F53/is!F8</f>
        <v>0.1205775718</v>
      </c>
      <c r="G18" s="158">
        <f>is!G53/is!G8</f>
        <v>0.1220821608</v>
      </c>
      <c r="H18" s="158">
        <f>is!H53/is!H8</f>
        <v>0.125245075</v>
      </c>
      <c r="I18" s="158">
        <f>is!I53/is!I8</f>
        <v>0.1309555441</v>
      </c>
      <c r="J18" s="158">
        <f>is!J53/is!J8</f>
        <v>0.134871157</v>
      </c>
      <c r="K18" s="158">
        <f>is!K53/is!K8</f>
        <v>0.1397196709</v>
      </c>
    </row>
    <row r="19">
      <c r="B19" s="20" t="s">
        <v>350</v>
      </c>
      <c r="C19" s="158">
        <f>is!C29/is!C8</f>
        <v>0.1100796158</v>
      </c>
      <c r="D19" s="158">
        <f>is!D29/is!D8</f>
        <v>0.1153458041</v>
      </c>
      <c r="E19" s="158">
        <f>is!E29/is!E8</f>
        <v>0.1198685223</v>
      </c>
      <c r="F19" s="158">
        <f>is!F29/is!F8</f>
        <v>0.1222857433</v>
      </c>
      <c r="G19" s="158">
        <f>is!G29/is!G8</f>
        <v>0.1220821608</v>
      </c>
      <c r="H19" s="158">
        <f>is!H29/is!H8</f>
        <v>0.125245075</v>
      </c>
      <c r="I19" s="158">
        <f>is!I29/is!I8</f>
        <v>0.1309555441</v>
      </c>
      <c r="J19" s="158">
        <f>is!J29/is!J8</f>
        <v>0.134871157</v>
      </c>
      <c r="K19" s="158">
        <f>is!K29/is!K8</f>
        <v>0.1397196709</v>
      </c>
    </row>
    <row r="20">
      <c r="B20" s="20" t="s">
        <v>352</v>
      </c>
      <c r="C20" s="158">
        <f>is!C39/is!C8</f>
        <v>0.1042231696</v>
      </c>
      <c r="D20" s="158">
        <f>is!D39/is!D8</f>
        <v>0.1021207207</v>
      </c>
      <c r="E20" s="158">
        <f>is!E39/is!E8</f>
        <v>0.1082926523</v>
      </c>
      <c r="F20" s="158">
        <f>is!F39/is!F8</f>
        <v>0.1119317957</v>
      </c>
      <c r="G20" s="158">
        <f>is!G39/is!G8</f>
        <v>0.1199476201</v>
      </c>
      <c r="H20" s="158">
        <f>is!H39/is!H8</f>
        <v>0.124843569</v>
      </c>
      <c r="I20" s="158">
        <f>is!I39/is!I8</f>
        <v>0.1305505337</v>
      </c>
      <c r="J20" s="158">
        <f>is!J39/is!J8</f>
        <v>0.134776201</v>
      </c>
      <c r="K20" s="158">
        <f>is!K39/is!K8</f>
        <v>0.140198739</v>
      </c>
    </row>
    <row r="21" ht="15.75" customHeight="1">
      <c r="B21" s="20" t="s">
        <v>354</v>
      </c>
      <c r="C21" s="158">
        <f>is!C43/is!C8</f>
        <v>0.07453062773</v>
      </c>
      <c r="D21" s="158">
        <f>is!D43/is!D8</f>
        <v>0.0745376902</v>
      </c>
      <c r="E21" s="158">
        <f>is!E43/is!E8</f>
        <v>0.07745590993</v>
      </c>
      <c r="F21" s="158">
        <f>is!F43/is!F8</f>
        <v>0.08007657889</v>
      </c>
      <c r="G21" s="158">
        <f>is!G43/is!G8</f>
        <v>0.08516281024</v>
      </c>
      <c r="H21" s="158">
        <f>is!H43/is!H8</f>
        <v>0.08863893397</v>
      </c>
      <c r="I21" s="158">
        <f>is!I43/is!I8</f>
        <v>0.09269087896</v>
      </c>
      <c r="J21" s="158">
        <f>is!J43/is!J8</f>
        <v>0.09569110273</v>
      </c>
      <c r="K21" s="158">
        <f>is!K43/is!K8</f>
        <v>0.0995411047</v>
      </c>
    </row>
    <row r="22" ht="15.75" customHeight="1"/>
    <row r="23" ht="15.75" customHeight="1">
      <c r="B23" s="24" t="s">
        <v>355</v>
      </c>
    </row>
    <row r="24" ht="15.75" customHeight="1">
      <c r="B24" s="20" t="s">
        <v>357</v>
      </c>
      <c r="D24" s="158">
        <f>is!D43/AVERAGE(bs!C64,bs!D64)</f>
        <v>0.1592513706</v>
      </c>
      <c r="E24" s="158">
        <f>is!E43/AVERAGE(bs!D64,bs!E64)</f>
        <v>0.1464972838</v>
      </c>
      <c r="F24" s="158">
        <f>is!F43/AVERAGE(bs!E64,bs!F64)</f>
        <v>0.1491325374</v>
      </c>
      <c r="G24" s="158">
        <f>is!G43/AVERAGE(bs!F64,bs!G64)</f>
        <v>0.1529804916</v>
      </c>
      <c r="H24" s="158">
        <f>is!H43/AVERAGE(bs!G64,bs!H64)</f>
        <v>0.1530018853</v>
      </c>
      <c r="I24" s="158">
        <f>is!I43/AVERAGE(bs!H64,bs!I64)</f>
        <v>0.1525678095</v>
      </c>
      <c r="J24" s="158">
        <f>is!J43/AVERAGE(bs!I64,bs!J64)</f>
        <v>0.149841879</v>
      </c>
      <c r="K24" s="158">
        <f>is!K43/AVERAGE(bs!J64,bs!K64)</f>
        <v>0.1479674062</v>
      </c>
    </row>
    <row r="25" ht="15.75" customHeight="1">
      <c r="B25" s="20" t="s">
        <v>359</v>
      </c>
      <c r="D25" s="158">
        <f>is!D43/AVERAGE(bs!C36,bs!D36)</f>
        <v>0.08764752664</v>
      </c>
      <c r="E25" s="158">
        <f>is!E43/AVERAGE(bs!D36,bs!E36)</f>
        <v>0.08793668932</v>
      </c>
      <c r="F25" s="158">
        <f>is!F43/AVERAGE(bs!E36,bs!F36)</f>
        <v>0.0950198742</v>
      </c>
      <c r="G25" s="158">
        <f>is!G43/AVERAGE(bs!F36,bs!G36)</f>
        <v>0.1331624847</v>
      </c>
      <c r="H25" s="158">
        <f>is!H43/AVERAGE(bs!G36,bs!H36)</f>
        <v>0.2043264782</v>
      </c>
      <c r="I25" s="158">
        <f>is!I43/AVERAGE(bs!H36,bs!I36)</f>
        <v>0.2152296234</v>
      </c>
      <c r="J25" s="158">
        <f>is!J43/AVERAGE(bs!I36,bs!J36)</f>
        <v>0.219346857</v>
      </c>
      <c r="K25" s="158">
        <f>is!K43/AVERAGE(bs!J36,bs!K36)</f>
        <v>0.2215570467</v>
      </c>
    </row>
    <row r="26" ht="15.75" customHeight="1">
      <c r="B26" s="20" t="s">
        <v>360</v>
      </c>
      <c r="D26" s="158">
        <f>is!D53*(1-is!D41)/AVERAGE(bs!C73,bs!D73)</f>
        <v>0.1330953393</v>
      </c>
      <c r="E26" s="158">
        <f>is!E53*(1-is!E41)/AVERAGE(bs!D73,bs!E73)</f>
        <v>0.129316349</v>
      </c>
      <c r="F26" s="158">
        <f>is!F53*(1-is!F41)/AVERAGE(bs!E73,bs!F73)</f>
        <v>0.1396199738</v>
      </c>
      <c r="G26" s="158">
        <f>is!G53*(1-is!G41)/AVERAGE(bs!F73,bs!G73)</f>
        <v>0.1400363649</v>
      </c>
      <c r="H26" s="158">
        <f>is!H53*(1-is!H41)/AVERAGE(bs!G73,bs!H73)</f>
        <v>0.1401369198</v>
      </c>
      <c r="I26" s="158">
        <f>is!I53*(1-is!I41)/AVERAGE(bs!H73,bs!I73)</f>
        <v>0.1414298233</v>
      </c>
      <c r="J26" s="158">
        <f>is!J53*(1-is!J41)/AVERAGE(bs!I73,bs!J73)</f>
        <v>0.1399389868</v>
      </c>
      <c r="K26" s="158">
        <f>is!K53*(1-is!K41)/AVERAGE(bs!J73,bs!K73)</f>
        <v>0.138722664</v>
      </c>
    </row>
    <row r="27" ht="15.75" customHeight="1"/>
    <row r="28" ht="15.75" customHeight="1">
      <c r="B28" s="24" t="s">
        <v>361</v>
      </c>
    </row>
    <row r="29" ht="15.75" customHeight="1">
      <c r="B29" s="20" t="s">
        <v>258</v>
      </c>
      <c r="C29" s="27">
        <f>bs!C70</f>
        <v>222.164</v>
      </c>
      <c r="D29" s="27">
        <f>bs!D70</f>
        <v>280.494</v>
      </c>
      <c r="E29" s="27">
        <f>bs!E70</f>
        <v>155.983</v>
      </c>
      <c r="F29" s="27">
        <f>bs!F70</f>
        <v>118.464</v>
      </c>
      <c r="G29" s="27">
        <f>bs!G70</f>
        <v>111.87565</v>
      </c>
      <c r="H29" s="27">
        <f>bs!H70</f>
        <v>106.6449025</v>
      </c>
      <c r="I29" s="27">
        <f>bs!I70</f>
        <v>102.5865846</v>
      </c>
      <c r="J29" s="27">
        <f>bs!J70</f>
        <v>99.54422281</v>
      </c>
      <c r="K29" s="27">
        <f>bs!K70</f>
        <v>97.38578405</v>
      </c>
    </row>
    <row r="30" ht="15.75" customHeight="1">
      <c r="B30" s="20" t="s">
        <v>260</v>
      </c>
      <c r="C30" s="27">
        <f>bs!C71</f>
        <v>53.908</v>
      </c>
      <c r="D30" s="27">
        <f>bs!D71</f>
        <v>196.339</v>
      </c>
      <c r="E30" s="27">
        <f>bs!E71</f>
        <v>18.211</v>
      </c>
      <c r="F30" s="27">
        <f>bs!F71</f>
        <v>12.724</v>
      </c>
      <c r="G30" s="27">
        <f>bs!G71</f>
        <v>-204.0128802</v>
      </c>
      <c r="H30" s="27">
        <f>bs!H71</f>
        <v>-187.1389679</v>
      </c>
      <c r="I30" s="27">
        <f>bs!I71</f>
        <v>-192.1032383</v>
      </c>
      <c r="J30" s="27">
        <f>bs!J71</f>
        <v>-223.3195564</v>
      </c>
      <c r="K30" s="27">
        <f>bs!K71</f>
        <v>-275.429241</v>
      </c>
    </row>
    <row r="31" ht="15.75" customHeight="1">
      <c r="B31" s="20" t="s">
        <v>353</v>
      </c>
      <c r="C31" s="160">
        <f>bs!C70/is!C55</f>
        <v>1.189155627</v>
      </c>
      <c r="D31" s="160">
        <f>bs!D70/is!D55</f>
        <v>1.285708392</v>
      </c>
      <c r="E31" s="160">
        <f>bs!E70/is!E55</f>
        <v>0.6353738116</v>
      </c>
      <c r="F31" s="160">
        <f>bs!F70/is!F55</f>
        <v>0.4356992063</v>
      </c>
      <c r="G31" s="160">
        <f>bs!G70/is!G55</f>
        <v>0.4060279082</v>
      </c>
      <c r="H31" s="160">
        <f>bs!H70/is!H55</f>
        <v>0.343291661</v>
      </c>
      <c r="I31" s="160">
        <f>bs!I70/is!I55</f>
        <v>0.2946452355</v>
      </c>
      <c r="J31" s="160">
        <f>bs!J70/is!J55</f>
        <v>0.2615484154</v>
      </c>
      <c r="K31" s="160">
        <f>bs!K70/is!K55</f>
        <v>0.2354782197</v>
      </c>
    </row>
    <row r="32" ht="15.75" customHeight="1">
      <c r="B32" s="20" t="s">
        <v>362</v>
      </c>
      <c r="C32" s="160">
        <f>bs!C71/is!C55</f>
        <v>0.2885481065</v>
      </c>
      <c r="D32" s="160">
        <f>bs!D71/is!D55</f>
        <v>0.8999647053</v>
      </c>
      <c r="E32" s="160">
        <f>bs!E71/is!E55</f>
        <v>0.07417983039</v>
      </c>
      <c r="F32" s="160">
        <f>bs!F71/is!F55</f>
        <v>0.04679764908</v>
      </c>
      <c r="G32" s="160">
        <f>bs!G71/is!G55</f>
        <v>-0.7404195909</v>
      </c>
      <c r="H32" s="160">
        <f>bs!H71/is!H55</f>
        <v>-0.6024033556</v>
      </c>
      <c r="I32" s="160">
        <f>bs!I71/is!I55</f>
        <v>-0.551751519</v>
      </c>
      <c r="J32" s="160">
        <f>bs!J71/is!J55</f>
        <v>-0.5867630936</v>
      </c>
      <c r="K32" s="160">
        <f>bs!K71/is!K55</f>
        <v>-0.6659861904</v>
      </c>
    </row>
    <row r="33" ht="15.75" customHeight="1">
      <c r="B33" s="20" t="s">
        <v>363</v>
      </c>
      <c r="C33" s="158">
        <f>bs!C70/bs!C64</f>
        <v>0.3615850473</v>
      </c>
      <c r="D33" s="158">
        <f>bs!D70/bs!D64</f>
        <v>0.3644393166</v>
      </c>
      <c r="E33" s="158">
        <f>bs!E70/bs!E64</f>
        <v>0.1838958093</v>
      </c>
      <c r="F33" s="158">
        <f>bs!F70/bs!F64</f>
        <v>0.1216626323</v>
      </c>
      <c r="G33" s="158">
        <f>bs!G70/bs!G64</f>
        <v>0.103092108</v>
      </c>
      <c r="H33" s="158">
        <f>bs!H70/bs!H64</f>
        <v>0.08832357561</v>
      </c>
      <c r="I33" s="158">
        <f>bs!I70/bs!I64</f>
        <v>0.076495468</v>
      </c>
      <c r="J33" s="158">
        <f>bs!J70/bs!J64</f>
        <v>0.06702746968</v>
      </c>
      <c r="K33" s="158">
        <f>bs!K70/bs!K64</f>
        <v>0.05934935609</v>
      </c>
    </row>
    <row r="34" ht="15.75" customHeight="1">
      <c r="B34" s="20" t="s">
        <v>356</v>
      </c>
      <c r="C34" s="160">
        <f>is!C55/(-is!C34)</f>
        <v>25.7157605</v>
      </c>
      <c r="D34" s="160">
        <f>is!D55/(-is!D34)</f>
        <v>12.4245686</v>
      </c>
      <c r="E34" s="160">
        <f>is!E55/(-is!E34)</f>
        <v>13.69431584</v>
      </c>
      <c r="F34" s="160">
        <f>is!F55/(-is!F34)</f>
        <v>22.05678592</v>
      </c>
      <c r="G34" s="160">
        <f>is!G55/(-is!G34)</f>
        <v>45.27594862</v>
      </c>
      <c r="H34" s="160">
        <f>is!H55/(-is!H34)</f>
        <v>53.99352007</v>
      </c>
      <c r="I34" s="160">
        <f>is!I55/(-is!I34)</f>
        <v>63.41224231</v>
      </c>
      <c r="J34" s="160">
        <f>is!J55/(-is!J34)</f>
        <v>71.98138774</v>
      </c>
      <c r="K34" s="160">
        <f>is!K55/(-is!K34)</f>
        <v>80.52120024</v>
      </c>
    </row>
    <row r="35" ht="15.75" customHeight="1"/>
    <row r="36" ht="15.75" customHeight="1">
      <c r="B36" s="24" t="s">
        <v>364</v>
      </c>
    </row>
    <row r="37" ht="15.75" customHeight="1">
      <c r="B37" s="20" t="s">
        <v>365</v>
      </c>
      <c r="C37" s="42">
        <f>bs!C9/is!C8*365</f>
        <v>46.87595572</v>
      </c>
      <c r="D37" s="42">
        <f>bs!D9/is!D8*365</f>
        <v>62.50961412</v>
      </c>
      <c r="E37" s="42">
        <f>bs!E9/is!E8*365</f>
        <v>61.02684784</v>
      </c>
      <c r="F37" s="42">
        <f>bs!F9/is!F8*365</f>
        <v>61.33343177</v>
      </c>
      <c r="G37" s="67">
        <f>bs!G9/is!G8*365</f>
        <v>11.84269917</v>
      </c>
      <c r="H37" s="68">
        <f>bs!H9/is!H8*365</f>
        <v>11.06794315</v>
      </c>
      <c r="I37" s="68">
        <f>bs!I9/is!I8*365</f>
        <v>10.4414558</v>
      </c>
      <c r="J37" s="68">
        <f>bs!J9/is!J8*365</f>
        <v>9.897114504</v>
      </c>
      <c r="K37" s="71">
        <f>bs!K9/is!K8*365</f>
        <v>9.425823337</v>
      </c>
      <c r="L37" s="32" t="s">
        <v>366</v>
      </c>
    </row>
    <row r="38" ht="15.75" customHeight="1">
      <c r="B38" s="20" t="s">
        <v>367</v>
      </c>
      <c r="C38" s="42">
        <f>bs!C16/is!C11*365</f>
        <v>174.5283217</v>
      </c>
      <c r="D38" s="42">
        <f>bs!D16/is!D11*365</f>
        <v>166.8719244</v>
      </c>
      <c r="E38" s="42">
        <f>bs!E16/is!E11*365</f>
        <v>124.8319468</v>
      </c>
      <c r="F38" s="42">
        <f>bs!F16/is!F11*365</f>
        <v>144.6023089</v>
      </c>
      <c r="G38" s="67">
        <f>bs!G16/is!G11*365</f>
        <v>-102</v>
      </c>
      <c r="H38" s="68">
        <f>bs!H16/is!H11*365</f>
        <v>-100</v>
      </c>
      <c r="I38" s="68">
        <f>bs!I16/is!I11*365</f>
        <v>-98</v>
      </c>
      <c r="J38" s="68">
        <f>bs!J16/is!J11*365</f>
        <v>-95</v>
      </c>
      <c r="K38" s="71">
        <f>bs!K16/is!K11*365</f>
        <v>-92</v>
      </c>
      <c r="L38" s="32" t="s">
        <v>366</v>
      </c>
    </row>
    <row r="39" ht="15.75" customHeight="1">
      <c r="B39" s="20" t="s">
        <v>368</v>
      </c>
      <c r="C39" s="42">
        <f>bs!C40/is!C11*365</f>
        <v>114.4013727</v>
      </c>
      <c r="D39" s="42">
        <f>bs!D40/is!D11*365</f>
        <v>99.19555912</v>
      </c>
      <c r="E39" s="42">
        <f>bs!E40/is!E11*365</f>
        <v>102.5051873</v>
      </c>
      <c r="F39" s="42">
        <f>bs!F40/is!F11*365</f>
        <v>105.1229469</v>
      </c>
      <c r="G39" s="67">
        <f>bs!G40/is!G11*365</f>
        <v>31.51932854</v>
      </c>
      <c r="H39" s="68">
        <f>bs!H40/is!H11*365</f>
        <v>28.91312212</v>
      </c>
      <c r="I39" s="68">
        <f>bs!I40/is!I11*365</f>
        <v>26.79421198</v>
      </c>
      <c r="J39" s="68">
        <f>bs!J40/is!J11*365</f>
        <v>25.07269008</v>
      </c>
      <c r="K39" s="71">
        <f>bs!K40/is!K11*365</f>
        <v>23.56455834</v>
      </c>
      <c r="L39" s="32" t="s">
        <v>366</v>
      </c>
    </row>
    <row r="40" ht="15.75" customHeight="1">
      <c r="B40" s="12" t="s">
        <v>369</v>
      </c>
      <c r="C40" s="43">
        <f t="shared" ref="C40:K40" si="1">C37+C38-C39</f>
        <v>107.0029048</v>
      </c>
      <c r="D40" s="43">
        <f t="shared" si="1"/>
        <v>130.1859794</v>
      </c>
      <c r="E40" s="43">
        <f t="shared" si="1"/>
        <v>83.35360737</v>
      </c>
      <c r="F40" s="43">
        <f t="shared" si="1"/>
        <v>100.8127938</v>
      </c>
      <c r="G40" s="28">
        <f t="shared" si="1"/>
        <v>-121.6766294</v>
      </c>
      <c r="H40" s="28">
        <f t="shared" si="1"/>
        <v>-117.845179</v>
      </c>
      <c r="I40" s="28">
        <f t="shared" si="1"/>
        <v>-114.3527562</v>
      </c>
      <c r="J40" s="28">
        <f t="shared" si="1"/>
        <v>-110.1755756</v>
      </c>
      <c r="K40" s="28">
        <f t="shared" si="1"/>
        <v>-106.138735</v>
      </c>
    </row>
    <row r="41" ht="15.75" customHeight="1">
      <c r="B41" s="20" t="s">
        <v>370</v>
      </c>
      <c r="D41" s="160">
        <f>is!D8/AVERAGE(bs!C36,bs!D36)</f>
        <v>1.175881979</v>
      </c>
      <c r="E41" s="160">
        <f>is!E8/AVERAGE(bs!D36,bs!E36)</f>
        <v>1.135312843</v>
      </c>
      <c r="F41" s="160">
        <f>is!F8/AVERAGE(bs!E36,bs!F36)</f>
        <v>1.186612559</v>
      </c>
      <c r="G41" s="160">
        <f>is!G8/AVERAGE(bs!F36,bs!G36)</f>
        <v>1.563622482</v>
      </c>
      <c r="H41" s="160">
        <f>is!H8/AVERAGE(bs!G36,bs!H36)</f>
        <v>2.305154959</v>
      </c>
      <c r="I41" s="160">
        <f>is!I8/AVERAGE(bs!H36,bs!I36)</f>
        <v>2.322015131</v>
      </c>
      <c r="J41" s="160">
        <f>is!J8/AVERAGE(bs!I36,bs!J36)</f>
        <v>2.292238784</v>
      </c>
      <c r="K41" s="160">
        <f>is!K8/AVERAGE(bs!J36,bs!K36)</f>
        <v>2.225784487</v>
      </c>
    </row>
    <row r="42" ht="15.75" customHeight="1">
      <c r="B42" s="20" t="s">
        <v>371</v>
      </c>
      <c r="D42" s="160">
        <f>is!D8/AVERAGE(bs!C28,bs!D28)</f>
        <v>14.64879351</v>
      </c>
      <c r="E42" s="160">
        <f>is!E8/AVERAGE(bs!D28,bs!E28)</f>
        <v>12.14169342</v>
      </c>
      <c r="F42" s="160">
        <f>is!F8/AVERAGE(bs!E28,bs!F28)</f>
        <v>12.29193278</v>
      </c>
      <c r="G42" s="160">
        <f>is!G8/AVERAGE(bs!F28,bs!G28)</f>
        <v>10.41668444</v>
      </c>
      <c r="H42" s="160">
        <f>is!H8/AVERAGE(bs!G28,bs!H28)</f>
        <v>8.54932315</v>
      </c>
      <c r="I42" s="160">
        <f>is!I8/AVERAGE(bs!H28,bs!I28)</f>
        <v>7.572589694</v>
      </c>
      <c r="J42" s="160">
        <f>is!J8/AVERAGE(bs!I28,bs!J28)</f>
        <v>7.002084827</v>
      </c>
      <c r="K42" s="160">
        <f>is!K8/AVERAGE(bs!J28,bs!K28)</f>
        <v>6.661962284</v>
      </c>
    </row>
    <row r="43" ht="15.75" customHeight="1"/>
    <row r="44" ht="15.75" customHeight="1">
      <c r="B44" s="24" t="s">
        <v>372</v>
      </c>
    </row>
    <row r="45" ht="15.75" customHeight="1">
      <c r="B45" s="20" t="s">
        <v>373</v>
      </c>
      <c r="C45" s="160">
        <f>bs!C21/bs!C47</f>
        <v>2.391845062</v>
      </c>
      <c r="D45" s="160">
        <f>bs!D21/bs!D47</f>
        <v>2.515470582</v>
      </c>
      <c r="E45" s="160">
        <f>bs!E21/bs!E47</f>
        <v>2.249701134</v>
      </c>
      <c r="F45" s="160">
        <f>bs!F21/bs!F47</f>
        <v>2.276654414</v>
      </c>
      <c r="G45" s="165">
        <f>bs!G21/bs!G47</f>
        <v>0.587537343</v>
      </c>
      <c r="H45" s="166">
        <f>bs!H21/bs!H47</f>
        <v>0.4013898845</v>
      </c>
      <c r="I45" s="166">
        <f>bs!I21/bs!I47</f>
        <v>0.3622103463</v>
      </c>
      <c r="J45" s="166">
        <f>bs!J21/bs!J47</f>
        <v>0.500401242</v>
      </c>
      <c r="K45" s="167">
        <f>bs!K21/bs!K47</f>
        <v>0.7822311665</v>
      </c>
      <c r="L45" s="32" t="s">
        <v>366</v>
      </c>
    </row>
    <row r="46" ht="15.75" customHeight="1">
      <c r="B46" s="20" t="s">
        <v>374</v>
      </c>
      <c r="C46" s="160">
        <f>(bs!C8+bs!C13)/bs!C47</f>
        <v>0.9926115912</v>
      </c>
      <c r="D46" s="160">
        <f>(bs!D8+bs!D13)/bs!D47</f>
        <v>1.020352921</v>
      </c>
      <c r="E46" s="160">
        <f>(bs!E8+bs!E13)/bs!E47</f>
        <v>1.135907133</v>
      </c>
      <c r="F46" s="160">
        <f>(bs!F8+bs!F13)/bs!F47</f>
        <v>1.001577911</v>
      </c>
      <c r="G46" s="165">
        <f>(bs!G8+bs!G13)/bs!G47</f>
        <v>2.071935226</v>
      </c>
      <c r="H46" s="166">
        <f>(bs!H8+bs!H13)/bs!H47</f>
        <v>1.981999504</v>
      </c>
      <c r="I46" s="166">
        <f>(bs!I8+bs!I13)/bs!I47</f>
        <v>2.021453587</v>
      </c>
      <c r="J46" s="166">
        <f>(bs!J8+bs!J13)/bs!J47</f>
        <v>2.209122085</v>
      </c>
      <c r="K46" s="167">
        <f>(bs!K8+bs!K13)/bs!K47</f>
        <v>2.529566539</v>
      </c>
      <c r="L46" s="32" t="s">
        <v>366</v>
      </c>
    </row>
    <row r="47" ht="15.75" customHeight="1">
      <c r="B47" s="20" t="s">
        <v>375</v>
      </c>
      <c r="C47" s="160">
        <f>bs!C8/bs!C47</f>
        <v>0.490392154</v>
      </c>
      <c r="D47" s="160">
        <f>bs!D8/bs!D47</f>
        <v>0.2615361187</v>
      </c>
      <c r="E47" s="160">
        <f>bs!E8/bs!E47</f>
        <v>0.4076770116</v>
      </c>
      <c r="F47" s="160">
        <f>bs!F8/bs!F47</f>
        <v>0.2735218722</v>
      </c>
      <c r="G47" s="165">
        <f>bs!G8/bs!G47</f>
        <v>1.758169357</v>
      </c>
      <c r="H47" s="166">
        <f>bs!H8/bs!H47</f>
        <v>1.662905605</v>
      </c>
      <c r="I47" s="166">
        <f>bs!I8/bs!I47</f>
        <v>1.696847583</v>
      </c>
      <c r="J47" s="166">
        <f>bs!J8/bs!J47</f>
        <v>1.880734316</v>
      </c>
      <c r="K47" s="167">
        <f>bs!K8/bs!K47</f>
        <v>2.197307847</v>
      </c>
      <c r="L47" s="32" t="s">
        <v>366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5:F5"/>
    <mergeCell ref="G5:K5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45.0"/>
    <col customWidth="1" min="3" max="4" width="25.0"/>
    <col customWidth="1" min="5" max="26" width="8.71"/>
  </cols>
  <sheetData>
    <row r="2">
      <c r="B2" s="6" t="s">
        <v>5</v>
      </c>
    </row>
    <row r="3">
      <c r="B3" s="8" t="s">
        <v>10</v>
      </c>
    </row>
    <row r="5">
      <c r="B5" s="10" t="s">
        <v>13</v>
      </c>
    </row>
    <row r="6">
      <c r="B6" s="12" t="s">
        <v>15</v>
      </c>
      <c r="C6" s="13" t="s">
        <v>19</v>
      </c>
    </row>
    <row r="7">
      <c r="B7" s="12" t="s">
        <v>22</v>
      </c>
      <c r="C7" s="13" t="s">
        <v>24</v>
      </c>
    </row>
    <row r="8">
      <c r="B8" s="12" t="s">
        <v>26</v>
      </c>
      <c r="C8" s="13" t="s">
        <v>28</v>
      </c>
    </row>
    <row r="9">
      <c r="B9" s="12" t="s">
        <v>29</v>
      </c>
      <c r="C9" s="13" t="s">
        <v>31</v>
      </c>
    </row>
    <row r="10">
      <c r="B10" s="12" t="s">
        <v>32</v>
      </c>
      <c r="C10" s="13" t="s">
        <v>33</v>
      </c>
    </row>
    <row r="11">
      <c r="B11" s="12" t="s">
        <v>35</v>
      </c>
      <c r="C11" s="13" t="s">
        <v>30</v>
      </c>
    </row>
    <row r="12">
      <c r="B12" s="12" t="s">
        <v>36</v>
      </c>
      <c r="C12" s="13" t="s">
        <v>27</v>
      </c>
    </row>
    <row r="13">
      <c r="B13" s="12" t="s">
        <v>37</v>
      </c>
      <c r="C13" s="13" t="s">
        <v>38</v>
      </c>
    </row>
    <row r="14">
      <c r="B14" s="12" t="s">
        <v>39</v>
      </c>
      <c r="C14" s="13" t="s">
        <v>40</v>
      </c>
    </row>
    <row r="15">
      <c r="B15" s="12" t="s">
        <v>41</v>
      </c>
      <c r="C15" s="13" t="s">
        <v>42</v>
      </c>
    </row>
    <row r="18">
      <c r="B18" s="10" t="s">
        <v>43</v>
      </c>
    </row>
    <row r="19">
      <c r="B19" s="12" t="s">
        <v>44</v>
      </c>
      <c r="C19" s="13" t="s">
        <v>45</v>
      </c>
    </row>
    <row r="20">
      <c r="B20" s="12" t="s">
        <v>47</v>
      </c>
      <c r="C20" s="19" t="s">
        <v>48</v>
      </c>
    </row>
    <row r="21" ht="15.75" customHeight="1">
      <c r="B21" s="12" t="s">
        <v>17</v>
      </c>
      <c r="C21" s="20" t="s">
        <v>49</v>
      </c>
    </row>
    <row r="22" ht="15.75" customHeight="1">
      <c r="B22" s="12" t="s">
        <v>51</v>
      </c>
      <c r="C22" s="22" t="s">
        <v>52</v>
      </c>
    </row>
    <row r="23" ht="15.75" customHeight="1"/>
    <row r="24" ht="15.75" customHeight="1"/>
    <row r="25" ht="15.75" customHeight="1">
      <c r="B25" s="10" t="s">
        <v>55</v>
      </c>
    </row>
    <row r="26" ht="15.75" customHeight="1">
      <c r="B26" s="5" t="s">
        <v>57</v>
      </c>
    </row>
    <row r="27" ht="15.75" customHeight="1">
      <c r="B27" s="5" t="s">
        <v>58</v>
      </c>
    </row>
    <row r="28" ht="15.75" customHeight="1">
      <c r="B28" s="5" t="s">
        <v>60</v>
      </c>
    </row>
    <row r="29" ht="15.75" customHeight="1">
      <c r="B29" s="5" t="s">
        <v>62</v>
      </c>
    </row>
    <row r="30" ht="15.75" customHeight="1">
      <c r="B30" s="5" t="s">
        <v>64</v>
      </c>
    </row>
    <row r="31" ht="15.75" customHeight="1">
      <c r="B31" s="5" t="s">
        <v>66</v>
      </c>
    </row>
    <row r="32" ht="15.75" customHeight="1">
      <c r="B32" s="5" t="s">
        <v>68</v>
      </c>
    </row>
    <row r="33" ht="15.75" customHeight="1">
      <c r="B33" s="5" t="s">
        <v>69</v>
      </c>
    </row>
    <row r="34" ht="15.75" customHeight="1">
      <c r="B34" s="5" t="s">
        <v>71</v>
      </c>
    </row>
    <row r="35" ht="15.75" customHeight="1">
      <c r="B35" s="5" t="s">
        <v>73</v>
      </c>
    </row>
    <row r="36" ht="15.75" customHeight="1">
      <c r="B36" s="5" t="s">
        <v>74</v>
      </c>
    </row>
    <row r="37" ht="15.75" customHeight="1">
      <c r="B37" s="5" t="s">
        <v>76</v>
      </c>
    </row>
    <row r="38" ht="15.75" customHeight="1">
      <c r="B38" s="5" t="s">
        <v>77</v>
      </c>
    </row>
    <row r="39" ht="15.75" customHeight="1">
      <c r="B39" s="5" t="s">
        <v>79</v>
      </c>
    </row>
    <row r="40" ht="15.75" customHeight="1">
      <c r="B40" s="5" t="s">
        <v>80</v>
      </c>
    </row>
    <row r="41" ht="15.75" customHeight="1">
      <c r="B41" s="5" t="s">
        <v>81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8.0"/>
    <col customWidth="1" min="3" max="12" width="11.43"/>
    <col customWidth="1" min="13" max="13" width="22.0"/>
    <col customWidth="1" min="14" max="26" width="8.71"/>
  </cols>
  <sheetData>
    <row r="2">
      <c r="B2" s="15" t="s">
        <v>25</v>
      </c>
    </row>
    <row r="3">
      <c r="B3" s="16" t="s">
        <v>30</v>
      </c>
    </row>
    <row r="5">
      <c r="C5" s="17" t="s">
        <v>34</v>
      </c>
      <c r="D5" s="18"/>
      <c r="E5" s="18"/>
      <c r="F5" s="18"/>
      <c r="G5" s="17" t="s">
        <v>46</v>
      </c>
      <c r="H5" s="18"/>
      <c r="I5" s="18"/>
      <c r="J5" s="18"/>
      <c r="K5" s="18"/>
      <c r="L5" s="23" t="s">
        <v>54</v>
      </c>
      <c r="M5" s="23" t="s">
        <v>65</v>
      </c>
    </row>
    <row r="6">
      <c r="C6" s="21" t="s">
        <v>50</v>
      </c>
      <c r="D6" s="21" t="s">
        <v>53</v>
      </c>
      <c r="E6" s="21" t="s">
        <v>56</v>
      </c>
      <c r="F6" s="21" t="s">
        <v>59</v>
      </c>
      <c r="G6" s="21" t="s">
        <v>61</v>
      </c>
      <c r="H6" s="21" t="s">
        <v>63</v>
      </c>
      <c r="I6" s="21" t="s">
        <v>67</v>
      </c>
      <c r="J6" s="21" t="s">
        <v>70</v>
      </c>
      <c r="K6" s="21" t="s">
        <v>72</v>
      </c>
    </row>
    <row r="7">
      <c r="B7" s="12" t="s">
        <v>82</v>
      </c>
      <c r="C7" s="26">
        <v>1418.437</v>
      </c>
      <c r="D7" s="26">
        <v>1478.554</v>
      </c>
      <c r="E7" s="26">
        <v>1529.993</v>
      </c>
      <c r="F7" s="26">
        <v>1696.551</v>
      </c>
      <c r="G7" s="28">
        <f t="shared" ref="G7:K7" si="1">F7*(1+G61)</f>
        <v>1849.24059</v>
      </c>
      <c r="H7" s="28">
        <f t="shared" si="1"/>
        <v>1978.687431</v>
      </c>
      <c r="I7" s="28">
        <f t="shared" si="1"/>
        <v>2097.408677</v>
      </c>
      <c r="J7" s="28">
        <f t="shared" si="1"/>
        <v>2212.766154</v>
      </c>
      <c r="K7" s="28">
        <f t="shared" si="1"/>
        <v>2323.404462</v>
      </c>
    </row>
    <row r="8">
      <c r="B8" s="12" t="s">
        <v>85</v>
      </c>
      <c r="C8" s="28">
        <f t="shared" ref="C8:K8" si="2">C7</f>
        <v>1418.437</v>
      </c>
      <c r="D8" s="28">
        <f t="shared" si="2"/>
        <v>1478.554</v>
      </c>
      <c r="E8" s="28">
        <f t="shared" si="2"/>
        <v>1529.993</v>
      </c>
      <c r="F8" s="28">
        <f t="shared" si="2"/>
        <v>1696.551</v>
      </c>
      <c r="G8" s="28">
        <f t="shared" si="2"/>
        <v>1849.24059</v>
      </c>
      <c r="H8" s="28">
        <f t="shared" si="2"/>
        <v>1978.687431</v>
      </c>
      <c r="I8" s="28">
        <f t="shared" si="2"/>
        <v>2097.408677</v>
      </c>
      <c r="J8" s="28">
        <f t="shared" si="2"/>
        <v>2212.766154</v>
      </c>
      <c r="K8" s="28">
        <f t="shared" si="2"/>
        <v>2323.404462</v>
      </c>
      <c r="L8" s="36">
        <f>(K8/C8)^(1/8)-1</f>
        <v>0.06362698206</v>
      </c>
    </row>
    <row r="9">
      <c r="B9" s="38" t="s">
        <v>92</v>
      </c>
      <c r="D9" s="40">
        <f t="shared" ref="D9:K9" si="3">D8/C8-1</f>
        <v>0.04238256616</v>
      </c>
      <c r="E9" s="40">
        <f t="shared" si="3"/>
        <v>0.03479007192</v>
      </c>
      <c r="F9" s="40">
        <f t="shared" si="3"/>
        <v>0.108861936</v>
      </c>
      <c r="G9" s="40">
        <f t="shared" si="3"/>
        <v>0.09</v>
      </c>
      <c r="H9" s="40">
        <f t="shared" si="3"/>
        <v>0.07</v>
      </c>
      <c r="I9" s="40">
        <f t="shared" si="3"/>
        <v>0.06</v>
      </c>
      <c r="J9" s="40">
        <f t="shared" si="3"/>
        <v>0.055</v>
      </c>
      <c r="K9" s="40">
        <f t="shared" si="3"/>
        <v>0.05</v>
      </c>
    </row>
    <row r="11">
      <c r="B11" s="20" t="s">
        <v>98</v>
      </c>
      <c r="C11" s="25">
        <v>932.5</v>
      </c>
      <c r="D11" s="25">
        <v>961.612</v>
      </c>
      <c r="E11" s="25">
        <v>973.055</v>
      </c>
      <c r="F11" s="25">
        <v>1076.074</v>
      </c>
      <c r="G11" s="42">
        <f t="shared" ref="G11:K11" si="4">G8*(1-G62)</f>
        <v>1192.760181</v>
      </c>
      <c r="H11" s="42">
        <f t="shared" si="4"/>
        <v>1262.402581</v>
      </c>
      <c r="I11" s="42">
        <f t="shared" si="4"/>
        <v>1321.367467</v>
      </c>
      <c r="J11" s="42">
        <f t="shared" si="4"/>
        <v>1382.978847</v>
      </c>
      <c r="K11" s="42">
        <f t="shared" si="4"/>
        <v>1440.510767</v>
      </c>
    </row>
    <row r="12">
      <c r="B12" s="12" t="s">
        <v>100</v>
      </c>
      <c r="C12" s="43">
        <f t="shared" ref="C12:K12" si="5">C8-C11</f>
        <v>485.937</v>
      </c>
      <c r="D12" s="43">
        <f t="shared" si="5"/>
        <v>516.942</v>
      </c>
      <c r="E12" s="43">
        <f t="shared" si="5"/>
        <v>556.938</v>
      </c>
      <c r="F12" s="43">
        <f t="shared" si="5"/>
        <v>620.477</v>
      </c>
      <c r="G12" s="43">
        <f t="shared" si="5"/>
        <v>656.4804095</v>
      </c>
      <c r="H12" s="43">
        <f t="shared" si="5"/>
        <v>716.2848501</v>
      </c>
      <c r="I12" s="43">
        <f t="shared" si="5"/>
        <v>776.0412106</v>
      </c>
      <c r="J12" s="43">
        <f t="shared" si="5"/>
        <v>829.7873079</v>
      </c>
      <c r="K12" s="43">
        <f t="shared" si="5"/>
        <v>882.8936956</v>
      </c>
      <c r="L12" s="36">
        <f>(K12/C12)^(1/8)-1</f>
        <v>0.07749696597</v>
      </c>
    </row>
    <row r="13">
      <c r="B13" s="38" t="s">
        <v>104</v>
      </c>
      <c r="C13" s="40">
        <f t="shared" ref="C13:K13" si="6">C12/C8</f>
        <v>0.3425862411</v>
      </c>
      <c r="D13" s="40">
        <f t="shared" si="6"/>
        <v>0.3496267299</v>
      </c>
      <c r="E13" s="40">
        <f t="shared" si="6"/>
        <v>0.3640134301</v>
      </c>
      <c r="F13" s="40">
        <f t="shared" si="6"/>
        <v>0.3657284691</v>
      </c>
      <c r="G13" s="40">
        <f t="shared" si="6"/>
        <v>0.355</v>
      </c>
      <c r="H13" s="40">
        <f t="shared" si="6"/>
        <v>0.362</v>
      </c>
      <c r="I13" s="40">
        <f t="shared" si="6"/>
        <v>0.37</v>
      </c>
      <c r="J13" s="40">
        <f t="shared" si="6"/>
        <v>0.375</v>
      </c>
      <c r="K13" s="40">
        <f t="shared" si="6"/>
        <v>0.38</v>
      </c>
    </row>
    <row r="15">
      <c r="B15" s="24" t="s">
        <v>108</v>
      </c>
    </row>
    <row r="16">
      <c r="B16" s="20" t="s">
        <v>109</v>
      </c>
      <c r="C16" s="25">
        <v>143.41</v>
      </c>
      <c r="D16" s="25">
        <v>183.066</v>
      </c>
      <c r="E16" s="25">
        <v>196.526</v>
      </c>
      <c r="F16" s="25">
        <v>212.585</v>
      </c>
      <c r="G16" s="42">
        <f t="shared" ref="G16:K16" si="7">G8*G63</f>
        <v>233.0043143</v>
      </c>
      <c r="H16" s="42">
        <f t="shared" si="7"/>
        <v>245.3572415</v>
      </c>
      <c r="I16" s="42">
        <f t="shared" si="7"/>
        <v>255.8838586</v>
      </c>
      <c r="J16" s="42">
        <f t="shared" si="7"/>
        <v>265.5319385</v>
      </c>
      <c r="K16" s="42">
        <f t="shared" si="7"/>
        <v>274.1617265</v>
      </c>
    </row>
    <row r="17">
      <c r="B17" s="20" t="s">
        <v>113</v>
      </c>
      <c r="C17" s="25">
        <v>17.36</v>
      </c>
      <c r="D17" s="25">
        <v>13.67</v>
      </c>
      <c r="E17" s="25">
        <v>13.486</v>
      </c>
      <c r="F17" s="25">
        <v>15.324</v>
      </c>
      <c r="G17" s="42">
        <f t="shared" ref="G17:K17" si="8">G8*G64</f>
        <v>16.64316531</v>
      </c>
      <c r="H17" s="42">
        <f t="shared" si="8"/>
        <v>17.80818688</v>
      </c>
      <c r="I17" s="42">
        <f t="shared" si="8"/>
        <v>18.87667809</v>
      </c>
      <c r="J17" s="42">
        <f t="shared" si="8"/>
        <v>19.91489539</v>
      </c>
      <c r="K17" s="42">
        <f t="shared" si="8"/>
        <v>20.91064016</v>
      </c>
    </row>
    <row r="18">
      <c r="B18" s="20" t="s">
        <v>118</v>
      </c>
      <c r="C18" s="25">
        <v>160.77</v>
      </c>
      <c r="D18" s="25">
        <v>196.736</v>
      </c>
      <c r="E18" s="25">
        <v>210.012</v>
      </c>
      <c r="F18" s="25">
        <v>227.909</v>
      </c>
      <c r="G18" s="42">
        <f t="shared" ref="G18:K18" si="9">G8*G65</f>
        <v>251.4967202</v>
      </c>
      <c r="H18" s="42">
        <f t="shared" si="9"/>
        <v>267.1228032</v>
      </c>
      <c r="I18" s="42">
        <f t="shared" si="9"/>
        <v>281.0527627</v>
      </c>
      <c r="J18" s="42">
        <f t="shared" si="9"/>
        <v>294.2978985</v>
      </c>
      <c r="K18" s="42">
        <f t="shared" si="9"/>
        <v>306.689389</v>
      </c>
    </row>
    <row r="19">
      <c r="B19" s="20" t="s">
        <v>122</v>
      </c>
      <c r="C19" s="25">
        <v>68.31</v>
      </c>
      <c r="D19" s="25">
        <v>52.721</v>
      </c>
      <c r="E19" s="25">
        <v>54.905</v>
      </c>
      <c r="F19" s="25">
        <v>62.84</v>
      </c>
      <c r="G19" s="42">
        <f t="shared" ref="G19:K19" si="10">G8*G66</f>
        <v>70.27114242</v>
      </c>
      <c r="H19" s="42">
        <f t="shared" si="10"/>
        <v>75.19012239</v>
      </c>
      <c r="I19" s="42">
        <f t="shared" si="10"/>
        <v>79.70152973</v>
      </c>
      <c r="J19" s="42">
        <f t="shared" si="10"/>
        <v>84.08511387</v>
      </c>
      <c r="K19" s="42">
        <f t="shared" si="10"/>
        <v>88.28936956</v>
      </c>
    </row>
    <row r="20">
      <c r="B20" s="12" t="s">
        <v>125</v>
      </c>
      <c r="C20" s="26">
        <v>229.08</v>
      </c>
      <c r="D20" s="26">
        <v>249.457</v>
      </c>
      <c r="E20" s="26">
        <v>264.917</v>
      </c>
      <c r="F20" s="26">
        <v>290.749</v>
      </c>
      <c r="G20" s="28">
        <f t="shared" ref="G20:K20" si="11">G18+G19</f>
        <v>321.7678627</v>
      </c>
      <c r="H20" s="28">
        <f t="shared" si="11"/>
        <v>342.3129256</v>
      </c>
      <c r="I20" s="28">
        <f t="shared" si="11"/>
        <v>360.7542925</v>
      </c>
      <c r="J20" s="28">
        <f t="shared" si="11"/>
        <v>378.3830124</v>
      </c>
      <c r="K20" s="28">
        <f t="shared" si="11"/>
        <v>394.9787586</v>
      </c>
    </row>
    <row r="21" ht="15.75" customHeight="1"/>
    <row r="22" ht="15.75" customHeight="1">
      <c r="B22" s="20" t="s">
        <v>129</v>
      </c>
      <c r="C22" s="25">
        <v>17.702</v>
      </c>
      <c r="D22" s="25">
        <v>28.862</v>
      </c>
      <c r="E22" s="25">
        <v>36.644</v>
      </c>
      <c r="F22" s="25">
        <v>39.507</v>
      </c>
      <c r="G22" s="62">
        <f>dep!G17</f>
        <v>23.67023916</v>
      </c>
      <c r="H22" s="62">
        <f>dep!H17</f>
        <v>30.859167</v>
      </c>
      <c r="I22" s="62">
        <f>dep!I17</f>
        <v>36.92983531</v>
      </c>
      <c r="J22" s="62">
        <f>dep!J17</f>
        <v>42.13537747</v>
      </c>
      <c r="K22" s="62">
        <f>dep!K17</f>
        <v>46.50090295</v>
      </c>
    </row>
    <row r="23" ht="15.75" customHeight="1">
      <c r="B23" s="20" t="s">
        <v>133</v>
      </c>
      <c r="C23" s="25">
        <v>12.762</v>
      </c>
      <c r="D23" s="25">
        <v>17.28</v>
      </c>
      <c r="E23" s="25">
        <v>23.141</v>
      </c>
      <c r="F23" s="25">
        <v>27.821</v>
      </c>
      <c r="G23" s="62">
        <f>amort!G17</f>
        <v>26.10732177</v>
      </c>
      <c r="H23" s="62">
        <f>amort!H17</f>
        <v>31.97390399</v>
      </c>
      <c r="I23" s="62">
        <f>amort!I17</f>
        <v>36.57271056</v>
      </c>
      <c r="J23" s="62">
        <f>amort!J17</f>
        <v>40.02206978</v>
      </c>
      <c r="K23" s="62">
        <f>amort!K17</f>
        <v>42.43978441</v>
      </c>
    </row>
    <row r="24" ht="15.75" customHeight="1">
      <c r="B24" s="12" t="s">
        <v>137</v>
      </c>
      <c r="C24" s="43">
        <f t="shared" ref="C24:K24" si="12">C22+C23</f>
        <v>30.464</v>
      </c>
      <c r="D24" s="43">
        <f t="shared" si="12"/>
        <v>46.142</v>
      </c>
      <c r="E24" s="43">
        <f t="shared" si="12"/>
        <v>59.785</v>
      </c>
      <c r="F24" s="43">
        <f t="shared" si="12"/>
        <v>67.328</v>
      </c>
      <c r="G24" s="43">
        <f t="shared" si="12"/>
        <v>49.77756093</v>
      </c>
      <c r="H24" s="43">
        <f t="shared" si="12"/>
        <v>62.833071</v>
      </c>
      <c r="I24" s="43">
        <f t="shared" si="12"/>
        <v>73.50254588</v>
      </c>
      <c r="J24" s="43">
        <f t="shared" si="12"/>
        <v>82.15744725</v>
      </c>
      <c r="K24" s="43">
        <f t="shared" si="12"/>
        <v>88.94068737</v>
      </c>
    </row>
    <row r="25" ht="15.75" customHeight="1"/>
    <row r="26" ht="15.75" customHeight="1">
      <c r="B26" s="20" t="s">
        <v>140</v>
      </c>
      <c r="C26" s="25">
        <v>70.252</v>
      </c>
      <c r="D26" s="25">
        <v>50.798</v>
      </c>
      <c r="E26" s="25">
        <v>48.838</v>
      </c>
      <c r="F26" s="25">
        <v>54.936</v>
      </c>
      <c r="G26" s="42">
        <f t="shared" ref="G26:K26" si="13">G8*G67</f>
        <v>59.17569888</v>
      </c>
      <c r="H26" s="42">
        <f t="shared" si="13"/>
        <v>63.3179978</v>
      </c>
      <c r="I26" s="42">
        <f t="shared" si="13"/>
        <v>67.11707767</v>
      </c>
      <c r="J26" s="42">
        <f t="shared" si="13"/>
        <v>70.80851694</v>
      </c>
      <c r="K26" s="42">
        <f t="shared" si="13"/>
        <v>74.34894279</v>
      </c>
    </row>
    <row r="27" ht="15.75" customHeight="1">
      <c r="B27" s="12" t="s">
        <v>145</v>
      </c>
      <c r="C27" s="43">
        <f t="shared" ref="C27:K27" si="14">C20+C24+C26</f>
        <v>329.796</v>
      </c>
      <c r="D27" s="43">
        <f t="shared" si="14"/>
        <v>346.397</v>
      </c>
      <c r="E27" s="43">
        <f t="shared" si="14"/>
        <v>373.54</v>
      </c>
      <c r="F27" s="43">
        <f t="shared" si="14"/>
        <v>413.013</v>
      </c>
      <c r="G27" s="43">
        <f t="shared" si="14"/>
        <v>430.7211225</v>
      </c>
      <c r="H27" s="43">
        <f t="shared" si="14"/>
        <v>468.4639944</v>
      </c>
      <c r="I27" s="43">
        <f t="shared" si="14"/>
        <v>501.373916</v>
      </c>
      <c r="J27" s="43">
        <f t="shared" si="14"/>
        <v>531.3489766</v>
      </c>
      <c r="K27" s="43">
        <f t="shared" si="14"/>
        <v>558.2683887</v>
      </c>
    </row>
    <row r="28" ht="15.75" customHeight="1"/>
    <row r="29" ht="15.75" customHeight="1">
      <c r="B29" s="12" t="s">
        <v>150</v>
      </c>
      <c r="C29" s="73">
        <f t="shared" ref="C29:K29" si="15">C12-C27</f>
        <v>156.141</v>
      </c>
      <c r="D29" s="73">
        <f t="shared" si="15"/>
        <v>170.545</v>
      </c>
      <c r="E29" s="73">
        <f t="shared" si="15"/>
        <v>183.398</v>
      </c>
      <c r="F29" s="73">
        <f t="shared" si="15"/>
        <v>207.464</v>
      </c>
      <c r="G29" s="73">
        <f t="shared" si="15"/>
        <v>225.759287</v>
      </c>
      <c r="H29" s="73">
        <f t="shared" si="15"/>
        <v>247.8208557</v>
      </c>
      <c r="I29" s="73">
        <f t="shared" si="15"/>
        <v>274.6672945</v>
      </c>
      <c r="J29" s="73">
        <f t="shared" si="15"/>
        <v>298.4383313</v>
      </c>
      <c r="K29" s="73">
        <f t="shared" si="15"/>
        <v>324.6253069</v>
      </c>
      <c r="L29" s="36">
        <f>(K29/C29)^(1/8)-1</f>
        <v>0.09580474609</v>
      </c>
    </row>
    <row r="30" ht="15.75" customHeight="1">
      <c r="B30" s="38" t="s">
        <v>154</v>
      </c>
      <c r="C30" s="40">
        <f t="shared" ref="C30:K30" si="16">C29/C8</f>
        <v>0.1100796158</v>
      </c>
      <c r="D30" s="40">
        <f t="shared" si="16"/>
        <v>0.1153458041</v>
      </c>
      <c r="E30" s="40">
        <f t="shared" si="16"/>
        <v>0.1198685223</v>
      </c>
      <c r="F30" s="40">
        <f t="shared" si="16"/>
        <v>0.1222857433</v>
      </c>
      <c r="G30" s="40">
        <f t="shared" si="16"/>
        <v>0.1220821608</v>
      </c>
      <c r="H30" s="40">
        <f t="shared" si="16"/>
        <v>0.125245075</v>
      </c>
      <c r="I30" s="40">
        <f t="shared" si="16"/>
        <v>0.1309555441</v>
      </c>
      <c r="J30" s="40">
        <f t="shared" si="16"/>
        <v>0.134871157</v>
      </c>
      <c r="K30" s="40">
        <f t="shared" si="16"/>
        <v>0.1397196709</v>
      </c>
    </row>
    <row r="31" ht="15.75" customHeight="1"/>
    <row r="32" ht="15.75" customHeight="1">
      <c r="B32" s="24" t="s">
        <v>158</v>
      </c>
    </row>
    <row r="33" ht="15.75" customHeight="1">
      <c r="B33" s="20" t="s">
        <v>159</v>
      </c>
      <c r="C33" s="34">
        <v>0.317</v>
      </c>
      <c r="D33" s="34">
        <v>0.669</v>
      </c>
      <c r="E33" s="34">
        <v>2.431</v>
      </c>
      <c r="F33" s="34">
        <v>1.845</v>
      </c>
      <c r="G33" s="74">
        <f>debt!G59</f>
        <v>6.324442953</v>
      </c>
      <c r="H33" s="76">
        <f>debt!H59</f>
        <v>9.145086009</v>
      </c>
      <c r="I33" s="76">
        <f>debt!I59</f>
        <v>8.8271054</v>
      </c>
      <c r="J33" s="76">
        <f>debt!J59</f>
        <v>9.263304033</v>
      </c>
      <c r="K33" s="77">
        <f>debt!K59</f>
        <v>10.43518206</v>
      </c>
      <c r="M33" s="32" t="s">
        <v>163</v>
      </c>
    </row>
    <row r="34" ht="15.75" customHeight="1">
      <c r="B34" s="20" t="s">
        <v>164</v>
      </c>
      <c r="C34" s="34">
        <v>-7.265</v>
      </c>
      <c r="D34" s="34">
        <v>-17.559</v>
      </c>
      <c r="E34" s="34">
        <v>-17.927</v>
      </c>
      <c r="F34" s="34">
        <v>-12.327</v>
      </c>
      <c r="G34" s="78">
        <f>-debt!G45</f>
        <v>-6.08572225</v>
      </c>
      <c r="H34" s="79">
        <f>-debt!H45</f>
        <v>-5.753540913</v>
      </c>
      <c r="I34" s="79">
        <f>-debt!I45</f>
        <v>-5.490577651</v>
      </c>
      <c r="J34" s="79">
        <f>-debt!J45</f>
        <v>-5.287419297</v>
      </c>
      <c r="K34" s="80">
        <f>-debt!K45</f>
        <v>-5.136113136</v>
      </c>
      <c r="M34" s="32" t="s">
        <v>163</v>
      </c>
    </row>
    <row r="35" ht="15.75" customHeight="1">
      <c r="B35" s="20" t="s">
        <v>169</v>
      </c>
      <c r="C35" s="34">
        <v>-1.579</v>
      </c>
      <c r="D35" s="34">
        <v>-4.14</v>
      </c>
      <c r="E35" s="34">
        <v>-4.53</v>
      </c>
      <c r="F35" s="34">
        <v>-4.186</v>
      </c>
      <c r="G35" s="81">
        <f t="shared" ref="G35:K35" si="17">$F$35</f>
        <v>-4.186</v>
      </c>
      <c r="H35" s="81">
        <f t="shared" si="17"/>
        <v>-4.186</v>
      </c>
      <c r="I35" s="81">
        <f t="shared" si="17"/>
        <v>-4.186</v>
      </c>
      <c r="J35" s="81">
        <f t="shared" si="17"/>
        <v>-4.186</v>
      </c>
      <c r="K35" s="81">
        <f t="shared" si="17"/>
        <v>-4.186</v>
      </c>
    </row>
    <row r="36" ht="15.75" customHeight="1">
      <c r="B36" s="12" t="s">
        <v>173</v>
      </c>
      <c r="C36" s="82">
        <f t="shared" ref="C36:K36" si="18">C33+C34+C35</f>
        <v>-8.527</v>
      </c>
      <c r="D36" s="82">
        <f t="shared" si="18"/>
        <v>-21.03</v>
      </c>
      <c r="E36" s="82">
        <f t="shared" si="18"/>
        <v>-20.026</v>
      </c>
      <c r="F36" s="82">
        <f t="shared" si="18"/>
        <v>-14.668</v>
      </c>
      <c r="G36" s="82">
        <f t="shared" si="18"/>
        <v>-3.947279297</v>
      </c>
      <c r="H36" s="82">
        <f t="shared" si="18"/>
        <v>-0.7944549037</v>
      </c>
      <c r="I36" s="82">
        <f t="shared" si="18"/>
        <v>-0.8494722507</v>
      </c>
      <c r="J36" s="82">
        <f t="shared" si="18"/>
        <v>-0.2101152641</v>
      </c>
      <c r="K36" s="82">
        <f t="shared" si="18"/>
        <v>1.113068928</v>
      </c>
    </row>
    <row r="37" ht="15.75" customHeight="1">
      <c r="B37" s="20" t="s">
        <v>178</v>
      </c>
      <c r="C37" s="34">
        <v>0.22</v>
      </c>
      <c r="D37" s="34">
        <v>1.476</v>
      </c>
      <c r="E37" s="34">
        <v>2.315</v>
      </c>
      <c r="F37" s="34">
        <v>-2.898</v>
      </c>
      <c r="G37" s="34">
        <v>0.0</v>
      </c>
      <c r="H37" s="34">
        <v>0.0</v>
      </c>
      <c r="I37" s="34">
        <v>0.0</v>
      </c>
      <c r="J37" s="34">
        <v>0.0</v>
      </c>
      <c r="K37" s="34">
        <v>0.0</v>
      </c>
    </row>
    <row r="38" ht="15.75" customHeight="1"/>
    <row r="39" ht="15.75" customHeight="1">
      <c r="B39" s="12" t="s">
        <v>180</v>
      </c>
      <c r="C39" s="43">
        <f t="shared" ref="C39:K39" si="19">C29+C36+C37</f>
        <v>147.834</v>
      </c>
      <c r="D39" s="43">
        <f t="shared" si="19"/>
        <v>150.991</v>
      </c>
      <c r="E39" s="43">
        <f t="shared" si="19"/>
        <v>165.687</v>
      </c>
      <c r="F39" s="43">
        <f t="shared" si="19"/>
        <v>189.898</v>
      </c>
      <c r="G39" s="43">
        <f t="shared" si="19"/>
        <v>221.8120077</v>
      </c>
      <c r="H39" s="43">
        <f t="shared" si="19"/>
        <v>247.0264008</v>
      </c>
      <c r="I39" s="43">
        <f t="shared" si="19"/>
        <v>273.8178223</v>
      </c>
      <c r="J39" s="43">
        <f t="shared" si="19"/>
        <v>298.228216</v>
      </c>
      <c r="K39" s="43">
        <f t="shared" si="19"/>
        <v>325.7383758</v>
      </c>
      <c r="L39" s="36">
        <f>(K39/C39)^(1/8)-1</f>
        <v>0.1037909395</v>
      </c>
    </row>
    <row r="40" ht="15.75" customHeight="1">
      <c r="B40" s="20" t="s">
        <v>187</v>
      </c>
      <c r="C40" s="25">
        <v>-42.117</v>
      </c>
      <c r="D40" s="25">
        <v>-40.783</v>
      </c>
      <c r="E40" s="25">
        <v>-47.18</v>
      </c>
      <c r="F40" s="25">
        <v>-54.044</v>
      </c>
      <c r="G40" s="42">
        <f t="shared" ref="G40:K40" si="20">-G39*G68</f>
        <v>-64.32548223</v>
      </c>
      <c r="H40" s="42">
        <f t="shared" si="20"/>
        <v>-71.63765624</v>
      </c>
      <c r="I40" s="42">
        <f t="shared" si="20"/>
        <v>-79.40716846</v>
      </c>
      <c r="J40" s="42">
        <f t="shared" si="20"/>
        <v>-86.48618265</v>
      </c>
      <c r="K40" s="42">
        <f t="shared" si="20"/>
        <v>-94.46412899</v>
      </c>
    </row>
    <row r="41" ht="15.75" customHeight="1">
      <c r="B41" s="38" t="s">
        <v>193</v>
      </c>
      <c r="C41" s="40">
        <f t="shared" ref="C41:K41" si="21">-C40/C39</f>
        <v>0.2848938674</v>
      </c>
      <c r="D41" s="40">
        <f t="shared" si="21"/>
        <v>0.2701021915</v>
      </c>
      <c r="E41" s="40">
        <f t="shared" si="21"/>
        <v>0.2847537827</v>
      </c>
      <c r="F41" s="40">
        <f t="shared" si="21"/>
        <v>0.2845948878</v>
      </c>
      <c r="G41" s="40">
        <f t="shared" si="21"/>
        <v>0.29</v>
      </c>
      <c r="H41" s="40">
        <f t="shared" si="21"/>
        <v>0.29</v>
      </c>
      <c r="I41" s="40">
        <f t="shared" si="21"/>
        <v>0.29</v>
      </c>
      <c r="J41" s="40">
        <f t="shared" si="21"/>
        <v>0.29</v>
      </c>
      <c r="K41" s="40">
        <f t="shared" si="21"/>
        <v>0.29</v>
      </c>
    </row>
    <row r="42" ht="15.75" customHeight="1"/>
    <row r="43" ht="15.75" customHeight="1">
      <c r="B43" s="12" t="s">
        <v>94</v>
      </c>
      <c r="C43" s="73">
        <f t="shared" ref="C43:K43" si="22">C39+C40</f>
        <v>105.717</v>
      </c>
      <c r="D43" s="73">
        <f t="shared" si="22"/>
        <v>110.208</v>
      </c>
      <c r="E43" s="73">
        <f t="shared" si="22"/>
        <v>118.507</v>
      </c>
      <c r="F43" s="73">
        <f t="shared" si="22"/>
        <v>135.854</v>
      </c>
      <c r="G43" s="73">
        <f t="shared" si="22"/>
        <v>157.4865255</v>
      </c>
      <c r="H43" s="73">
        <f t="shared" si="22"/>
        <v>175.3887446</v>
      </c>
      <c r="I43" s="73">
        <f t="shared" si="22"/>
        <v>194.4106538</v>
      </c>
      <c r="J43" s="73">
        <f t="shared" si="22"/>
        <v>211.7420334</v>
      </c>
      <c r="K43" s="73">
        <f t="shared" si="22"/>
        <v>231.2742468</v>
      </c>
      <c r="L43" s="36">
        <f>(K43/C43)^(1/8)-1</f>
        <v>0.1028026616</v>
      </c>
    </row>
    <row r="44" ht="15.75" customHeight="1">
      <c r="B44" s="38" t="s">
        <v>203</v>
      </c>
      <c r="C44" s="40">
        <f t="shared" ref="C44:K44" si="23">C43/C8</f>
        <v>0.07453062773</v>
      </c>
      <c r="D44" s="40">
        <f t="shared" si="23"/>
        <v>0.0745376902</v>
      </c>
      <c r="E44" s="40">
        <f t="shared" si="23"/>
        <v>0.07745590993</v>
      </c>
      <c r="F44" s="40">
        <f t="shared" si="23"/>
        <v>0.08007657889</v>
      </c>
      <c r="G44" s="40">
        <f t="shared" si="23"/>
        <v>0.08516281024</v>
      </c>
      <c r="H44" s="40">
        <f t="shared" si="23"/>
        <v>0.08863893397</v>
      </c>
      <c r="I44" s="40">
        <f t="shared" si="23"/>
        <v>0.09269087896</v>
      </c>
      <c r="J44" s="40">
        <f t="shared" si="23"/>
        <v>0.09569110273</v>
      </c>
      <c r="K44" s="40">
        <f t="shared" si="23"/>
        <v>0.0995411047</v>
      </c>
    </row>
    <row r="45" ht="15.75" customHeight="1"/>
    <row r="46" ht="15.75" customHeight="1">
      <c r="B46" s="24" t="s">
        <v>205</v>
      </c>
    </row>
    <row r="47" ht="15.75" customHeight="1">
      <c r="B47" s="20" t="s">
        <v>206</v>
      </c>
      <c r="C47" s="34">
        <v>139.294</v>
      </c>
      <c r="D47" s="34">
        <v>142.696</v>
      </c>
      <c r="E47" s="34">
        <v>143.309</v>
      </c>
      <c r="F47" s="34">
        <v>143.84</v>
      </c>
      <c r="G47" s="99">
        <f t="shared" ref="G47:K47" si="24">F47*(1+G69)</f>
        <v>144.27152</v>
      </c>
      <c r="H47" s="99">
        <f t="shared" si="24"/>
        <v>144.7043346</v>
      </c>
      <c r="I47" s="99">
        <f t="shared" si="24"/>
        <v>145.1384476</v>
      </c>
      <c r="J47" s="99">
        <f t="shared" si="24"/>
        <v>145.5738629</v>
      </c>
      <c r="K47" s="99">
        <f t="shared" si="24"/>
        <v>146.0105845</v>
      </c>
    </row>
    <row r="48" ht="15.75" customHeight="1">
      <c r="B48" s="20" t="s">
        <v>207</v>
      </c>
      <c r="C48" s="34">
        <v>140.394</v>
      </c>
      <c r="D48" s="34">
        <v>143.875</v>
      </c>
      <c r="E48" s="34">
        <v>144.874</v>
      </c>
      <c r="F48" s="34">
        <v>146.08</v>
      </c>
      <c r="G48" s="99">
        <f t="shared" ref="G48:K48" si="25">F48*(1+G69)</f>
        <v>146.51824</v>
      </c>
      <c r="H48" s="99">
        <f t="shared" si="25"/>
        <v>146.9577947</v>
      </c>
      <c r="I48" s="99">
        <f t="shared" si="25"/>
        <v>147.3986681</v>
      </c>
      <c r="J48" s="99">
        <f t="shared" si="25"/>
        <v>147.8408641</v>
      </c>
      <c r="K48" s="99">
        <f t="shared" si="25"/>
        <v>148.2843867</v>
      </c>
    </row>
    <row r="49" ht="15.75" customHeight="1">
      <c r="B49" s="12" t="s">
        <v>210</v>
      </c>
      <c r="C49" s="100">
        <f t="shared" ref="C49:K49" si="26">C43/C47</f>
        <v>0.7589486984</v>
      </c>
      <c r="D49" s="100">
        <f t="shared" si="26"/>
        <v>0.7723271851</v>
      </c>
      <c r="E49" s="100">
        <f t="shared" si="26"/>
        <v>0.8269334096</v>
      </c>
      <c r="F49" s="100">
        <f t="shared" si="26"/>
        <v>0.9444799778</v>
      </c>
      <c r="G49" s="100">
        <f t="shared" si="26"/>
        <v>1.091598158</v>
      </c>
      <c r="H49" s="100">
        <f t="shared" si="26"/>
        <v>1.212049004</v>
      </c>
      <c r="I49" s="100">
        <f t="shared" si="26"/>
        <v>1.339484176</v>
      </c>
      <c r="J49" s="100">
        <f t="shared" si="26"/>
        <v>1.454533315</v>
      </c>
      <c r="K49" s="100">
        <f t="shared" si="26"/>
        <v>1.583955353</v>
      </c>
    </row>
    <row r="50" ht="15.75" customHeight="1">
      <c r="B50" s="12" t="s">
        <v>212</v>
      </c>
      <c r="C50" s="100">
        <f t="shared" ref="C50:K50" si="27">C43/C48</f>
        <v>0.7530022651</v>
      </c>
      <c r="D50" s="100">
        <f t="shared" si="27"/>
        <v>0.7659982624</v>
      </c>
      <c r="E50" s="100">
        <f t="shared" si="27"/>
        <v>0.8180004694</v>
      </c>
      <c r="F50" s="100">
        <f t="shared" si="27"/>
        <v>0.9299972618</v>
      </c>
      <c r="G50" s="100">
        <f t="shared" si="27"/>
        <v>1.074859522</v>
      </c>
      <c r="H50" s="100">
        <f t="shared" si="27"/>
        <v>1.193463368</v>
      </c>
      <c r="I50" s="100">
        <f t="shared" si="27"/>
        <v>1.31894444</v>
      </c>
      <c r="J50" s="100">
        <f t="shared" si="27"/>
        <v>1.432229409</v>
      </c>
      <c r="K50" s="100">
        <f t="shared" si="27"/>
        <v>1.559666881</v>
      </c>
    </row>
    <row r="51" ht="15.75" customHeight="1"/>
    <row r="52" ht="15.75" customHeight="1">
      <c r="B52" s="24" t="s">
        <v>214</v>
      </c>
    </row>
    <row r="53" ht="15.75" customHeight="1">
      <c r="B53" s="12" t="s">
        <v>215</v>
      </c>
      <c r="C53" s="28">
        <f t="shared" ref="C53:K53" si="28">C29+C37</f>
        <v>156.361</v>
      </c>
      <c r="D53" s="28">
        <f t="shared" si="28"/>
        <v>172.021</v>
      </c>
      <c r="E53" s="28">
        <f t="shared" si="28"/>
        <v>185.713</v>
      </c>
      <c r="F53" s="28">
        <f t="shared" si="28"/>
        <v>204.566</v>
      </c>
      <c r="G53" s="28">
        <f t="shared" si="28"/>
        <v>225.759287</v>
      </c>
      <c r="H53" s="28">
        <f t="shared" si="28"/>
        <v>247.8208557</v>
      </c>
      <c r="I53" s="28">
        <f t="shared" si="28"/>
        <v>274.6672945</v>
      </c>
      <c r="J53" s="28">
        <f t="shared" si="28"/>
        <v>298.4383313</v>
      </c>
      <c r="K53" s="28">
        <f t="shared" si="28"/>
        <v>324.6253069</v>
      </c>
      <c r="L53" s="36">
        <f>(K53/C53)^(1/8)-1</f>
        <v>0.09561190262</v>
      </c>
    </row>
    <row r="54" ht="15.75" customHeight="1">
      <c r="B54" s="38" t="s">
        <v>217</v>
      </c>
      <c r="C54" s="40">
        <f t="shared" ref="C54:K54" si="29">C53/C8</f>
        <v>0.1102347161</v>
      </c>
      <c r="D54" s="40">
        <f t="shared" si="29"/>
        <v>0.1163440767</v>
      </c>
      <c r="E54" s="40">
        <f t="shared" si="29"/>
        <v>0.1213816011</v>
      </c>
      <c r="F54" s="40">
        <f t="shared" si="29"/>
        <v>0.1205775718</v>
      </c>
      <c r="G54" s="40">
        <f t="shared" si="29"/>
        <v>0.1220821608</v>
      </c>
      <c r="H54" s="40">
        <f t="shared" si="29"/>
        <v>0.125245075</v>
      </c>
      <c r="I54" s="40">
        <f t="shared" si="29"/>
        <v>0.1309555441</v>
      </c>
      <c r="J54" s="40">
        <f t="shared" si="29"/>
        <v>0.134871157</v>
      </c>
      <c r="K54" s="40">
        <f t="shared" si="29"/>
        <v>0.1397196709</v>
      </c>
    </row>
    <row r="55" ht="15.75" customHeight="1">
      <c r="B55" s="12" t="s">
        <v>220</v>
      </c>
      <c r="C55" s="73">
        <f t="shared" ref="C55:K55" si="30">C53+C24</f>
        <v>186.825</v>
      </c>
      <c r="D55" s="73">
        <f t="shared" si="30"/>
        <v>218.163</v>
      </c>
      <c r="E55" s="73">
        <f t="shared" si="30"/>
        <v>245.498</v>
      </c>
      <c r="F55" s="73">
        <f t="shared" si="30"/>
        <v>271.894</v>
      </c>
      <c r="G55" s="73">
        <f t="shared" si="30"/>
        <v>275.5368479</v>
      </c>
      <c r="H55" s="73">
        <f t="shared" si="30"/>
        <v>310.6539267</v>
      </c>
      <c r="I55" s="73">
        <f t="shared" si="30"/>
        <v>348.1698404</v>
      </c>
      <c r="J55" s="73">
        <f t="shared" si="30"/>
        <v>380.5957786</v>
      </c>
      <c r="K55" s="73">
        <f t="shared" si="30"/>
        <v>413.5659943</v>
      </c>
      <c r="L55" s="36">
        <f>(K55/C55)^(1/8)-1</f>
        <v>0.1044313575</v>
      </c>
    </row>
    <row r="56" ht="15.75" customHeight="1">
      <c r="B56" s="38" t="s">
        <v>222</v>
      </c>
      <c r="C56" s="40">
        <f t="shared" ref="C56:K56" si="31">C55/C8</f>
        <v>0.1317118772</v>
      </c>
      <c r="D56" s="40">
        <f t="shared" si="31"/>
        <v>0.1475515943</v>
      </c>
      <c r="E56" s="40">
        <f t="shared" si="31"/>
        <v>0.1604569433</v>
      </c>
      <c r="F56" s="40">
        <f t="shared" si="31"/>
        <v>0.160262792</v>
      </c>
      <c r="G56" s="40">
        <f t="shared" si="31"/>
        <v>0.149</v>
      </c>
      <c r="H56" s="40">
        <f t="shared" si="31"/>
        <v>0.157</v>
      </c>
      <c r="I56" s="40">
        <f t="shared" si="31"/>
        <v>0.166</v>
      </c>
      <c r="J56" s="40">
        <f t="shared" si="31"/>
        <v>0.172</v>
      </c>
      <c r="K56" s="40">
        <f t="shared" si="31"/>
        <v>0.178</v>
      </c>
    </row>
    <row r="57" ht="15.75" customHeight="1"/>
    <row r="58" ht="15.75" customHeight="1"/>
    <row r="59" ht="15.75" customHeight="1"/>
    <row r="60" ht="15.75" customHeight="1">
      <c r="B60" s="24" t="s">
        <v>224</v>
      </c>
      <c r="M60" s="23" t="s">
        <v>99</v>
      </c>
    </row>
    <row r="61" ht="15.75" customHeight="1">
      <c r="B61" s="20" t="s">
        <v>227</v>
      </c>
      <c r="G61" s="101">
        <v>0.09</v>
      </c>
      <c r="H61" s="102">
        <v>0.07</v>
      </c>
      <c r="I61" s="102">
        <v>0.06</v>
      </c>
      <c r="J61" s="102">
        <v>0.055</v>
      </c>
      <c r="K61" s="103">
        <v>0.05</v>
      </c>
      <c r="L61" s="104"/>
      <c r="M61" s="105">
        <v>-0.005</v>
      </c>
      <c r="N61" s="32" t="s">
        <v>196</v>
      </c>
    </row>
    <row r="62" ht="15.75" customHeight="1">
      <c r="B62" s="20" t="s">
        <v>229</v>
      </c>
      <c r="G62" s="101">
        <v>0.355</v>
      </c>
      <c r="H62" s="102">
        <v>0.362</v>
      </c>
      <c r="I62" s="102">
        <v>0.37</v>
      </c>
      <c r="J62" s="102">
        <v>0.375</v>
      </c>
      <c r="K62" s="103">
        <v>0.38</v>
      </c>
      <c r="L62" s="104"/>
      <c r="M62" s="105">
        <v>0.005</v>
      </c>
      <c r="N62" s="32" t="s">
        <v>196</v>
      </c>
    </row>
    <row r="63" ht="15.75" customHeight="1">
      <c r="B63" s="20" t="s">
        <v>230</v>
      </c>
      <c r="G63" s="106">
        <v>0.126</v>
      </c>
      <c r="H63" s="107">
        <v>0.124</v>
      </c>
      <c r="I63" s="107">
        <v>0.122</v>
      </c>
      <c r="J63" s="107">
        <v>0.12</v>
      </c>
      <c r="K63" s="108">
        <v>0.118</v>
      </c>
      <c r="L63" s="104"/>
      <c r="M63" s="109">
        <v>-0.002</v>
      </c>
      <c r="N63" s="32" t="s">
        <v>196</v>
      </c>
    </row>
    <row r="64" ht="15.75" customHeight="1">
      <c r="B64" s="20" t="s">
        <v>231</v>
      </c>
      <c r="G64" s="110">
        <v>0.009</v>
      </c>
      <c r="H64" s="111">
        <v>0.009</v>
      </c>
      <c r="I64" s="111">
        <v>0.009</v>
      </c>
      <c r="J64" s="111">
        <v>0.009</v>
      </c>
      <c r="K64" s="112">
        <v>0.009</v>
      </c>
      <c r="L64" s="104"/>
      <c r="M64" s="104"/>
      <c r="N64" s="32" t="s">
        <v>95</v>
      </c>
    </row>
    <row r="65" ht="15.75" customHeight="1">
      <c r="B65" s="20" t="s">
        <v>233</v>
      </c>
      <c r="G65" s="106">
        <v>0.136</v>
      </c>
      <c r="H65" s="107">
        <v>0.135</v>
      </c>
      <c r="I65" s="107">
        <v>0.134</v>
      </c>
      <c r="J65" s="107">
        <v>0.133</v>
      </c>
      <c r="K65" s="108">
        <v>0.132</v>
      </c>
      <c r="L65" s="104"/>
      <c r="M65" s="113">
        <v>-0.001</v>
      </c>
      <c r="N65" s="32" t="s">
        <v>196</v>
      </c>
    </row>
    <row r="66" ht="15.75" customHeight="1">
      <c r="B66" s="20" t="s">
        <v>234</v>
      </c>
      <c r="G66" s="114">
        <v>0.038</v>
      </c>
      <c r="H66" s="115">
        <v>0.038</v>
      </c>
      <c r="I66" s="115">
        <v>0.038</v>
      </c>
      <c r="J66" s="115">
        <v>0.038</v>
      </c>
      <c r="K66" s="116">
        <v>0.038</v>
      </c>
      <c r="N66" s="32" t="s">
        <v>95</v>
      </c>
    </row>
    <row r="67" ht="15.75" customHeight="1">
      <c r="B67" s="20" t="s">
        <v>236</v>
      </c>
      <c r="G67" s="114">
        <v>0.032</v>
      </c>
      <c r="H67" s="115">
        <v>0.032</v>
      </c>
      <c r="I67" s="115">
        <v>0.032</v>
      </c>
      <c r="J67" s="115">
        <v>0.032</v>
      </c>
      <c r="K67" s="116">
        <v>0.032</v>
      </c>
      <c r="N67" s="32" t="s">
        <v>95</v>
      </c>
    </row>
    <row r="68" ht="15.75" customHeight="1">
      <c r="B68" s="20" t="s">
        <v>237</v>
      </c>
      <c r="G68" s="117">
        <v>0.29</v>
      </c>
      <c r="H68" s="118">
        <v>0.29</v>
      </c>
      <c r="I68" s="118">
        <v>0.29</v>
      </c>
      <c r="J68" s="118">
        <v>0.29</v>
      </c>
      <c r="K68" s="119">
        <v>0.29</v>
      </c>
      <c r="N68" s="32" t="s">
        <v>95</v>
      </c>
    </row>
    <row r="69" ht="15.75" customHeight="1">
      <c r="B69" s="20" t="s">
        <v>241</v>
      </c>
      <c r="G69" s="117">
        <v>0.003</v>
      </c>
      <c r="H69" s="118">
        <v>0.003</v>
      </c>
      <c r="I69" s="118">
        <v>0.003</v>
      </c>
      <c r="J69" s="118">
        <v>0.003</v>
      </c>
      <c r="K69" s="119">
        <v>0.003</v>
      </c>
      <c r="N69" s="32" t="s">
        <v>95</v>
      </c>
    </row>
    <row r="70" ht="15.75" customHeight="1"/>
    <row r="71" ht="15.75" customHeight="1">
      <c r="B71" s="120" t="s">
        <v>242</v>
      </c>
      <c r="G71" s="121">
        <v>1.0</v>
      </c>
      <c r="H71" s="32" t="s">
        <v>163</v>
      </c>
    </row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5:F5"/>
    <mergeCell ref="G5:K5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8.0"/>
    <col customWidth="1" min="3" max="11" width="11.43"/>
    <col customWidth="1" min="12" max="26" width="8.71"/>
  </cols>
  <sheetData>
    <row r="2">
      <c r="B2" s="15" t="s">
        <v>21</v>
      </c>
    </row>
    <row r="3">
      <c r="B3" s="16" t="s">
        <v>27</v>
      </c>
    </row>
    <row r="5">
      <c r="C5" s="17" t="s">
        <v>34</v>
      </c>
      <c r="D5" s="18"/>
      <c r="E5" s="18"/>
      <c r="F5" s="18"/>
      <c r="G5" s="17" t="s">
        <v>46</v>
      </c>
      <c r="H5" s="18"/>
      <c r="I5" s="18"/>
      <c r="J5" s="18"/>
      <c r="K5" s="18"/>
    </row>
    <row r="6">
      <c r="C6" s="21" t="s">
        <v>50</v>
      </c>
      <c r="D6" s="21" t="s">
        <v>53</v>
      </c>
      <c r="E6" s="21" t="s">
        <v>56</v>
      </c>
      <c r="F6" s="21" t="s">
        <v>59</v>
      </c>
      <c r="G6" s="21" t="s">
        <v>61</v>
      </c>
      <c r="H6" s="21" t="s">
        <v>63</v>
      </c>
      <c r="I6" s="21" t="s">
        <v>67</v>
      </c>
      <c r="J6" s="21" t="s">
        <v>70</v>
      </c>
      <c r="K6" s="21" t="s">
        <v>72</v>
      </c>
    </row>
    <row r="7">
      <c r="B7" s="24" t="s">
        <v>75</v>
      </c>
    </row>
    <row r="8">
      <c r="B8" s="20" t="s">
        <v>78</v>
      </c>
      <c r="C8" s="25">
        <v>168.256</v>
      </c>
      <c r="D8" s="25">
        <v>84.155</v>
      </c>
      <c r="E8" s="25">
        <v>137.772</v>
      </c>
      <c r="F8" s="25">
        <v>105.74</v>
      </c>
      <c r="G8" s="27">
        <f>cf!G31</f>
        <v>315.8885302</v>
      </c>
      <c r="H8" s="27">
        <f>cf!H31</f>
        <v>293.7838704</v>
      </c>
      <c r="I8" s="27">
        <f>cf!I31</f>
        <v>294.689823</v>
      </c>
      <c r="J8" s="27">
        <f>cf!J31</f>
        <v>322.8637792</v>
      </c>
      <c r="K8" s="27">
        <f>cf!K31</f>
        <v>372.8150251</v>
      </c>
    </row>
    <row r="9">
      <c r="B9" s="20" t="s">
        <v>83</v>
      </c>
      <c r="C9" s="25">
        <v>182.166</v>
      </c>
      <c r="D9" s="25">
        <v>253.216</v>
      </c>
      <c r="E9" s="25">
        <v>255.81</v>
      </c>
      <c r="F9" s="25">
        <v>285.083</v>
      </c>
      <c r="G9" s="29">
        <f>owc!G14</f>
        <v>60</v>
      </c>
      <c r="H9" s="30">
        <f>owc!H14</f>
        <v>60</v>
      </c>
      <c r="I9" s="30">
        <f>owc!I14</f>
        <v>60</v>
      </c>
      <c r="J9" s="30">
        <f>owc!J14</f>
        <v>60</v>
      </c>
      <c r="K9" s="31">
        <f>owc!K14</f>
        <v>60</v>
      </c>
      <c r="L9" s="32" t="s">
        <v>84</v>
      </c>
    </row>
    <row r="10">
      <c r="B10" s="20" t="s">
        <v>86</v>
      </c>
      <c r="C10" s="34">
        <v>1.711</v>
      </c>
      <c r="D10" s="34">
        <v>0.559</v>
      </c>
      <c r="E10" s="34">
        <v>0.0</v>
      </c>
      <c r="F10" s="34">
        <v>0.0</v>
      </c>
      <c r="G10" s="35">
        <f t="shared" ref="G10:K10" si="1">$F$10</f>
        <v>0</v>
      </c>
      <c r="H10" s="35">
        <f t="shared" si="1"/>
        <v>0</v>
      </c>
      <c r="I10" s="35">
        <f t="shared" si="1"/>
        <v>0</v>
      </c>
      <c r="J10" s="35">
        <f t="shared" si="1"/>
        <v>0</v>
      </c>
      <c r="K10" s="35">
        <f t="shared" si="1"/>
        <v>0</v>
      </c>
    </row>
    <row r="11">
      <c r="B11" s="20" t="s">
        <v>91</v>
      </c>
      <c r="C11" s="34">
        <v>0.0</v>
      </c>
      <c r="D11" s="34">
        <v>0.0</v>
      </c>
      <c r="E11" s="34">
        <v>0.0</v>
      </c>
      <c r="F11" s="34">
        <v>6.063</v>
      </c>
      <c r="G11" s="37">
        <f t="shared" ref="G11:K11" si="2">$F$11</f>
        <v>6.063</v>
      </c>
      <c r="H11" s="39">
        <f t="shared" si="2"/>
        <v>6.063</v>
      </c>
      <c r="I11" s="39">
        <f t="shared" si="2"/>
        <v>6.063</v>
      </c>
      <c r="J11" s="39">
        <f t="shared" si="2"/>
        <v>6.063</v>
      </c>
      <c r="K11" s="41">
        <f t="shared" si="2"/>
        <v>6.063</v>
      </c>
      <c r="L11" s="32" t="s">
        <v>95</v>
      </c>
    </row>
    <row r="12">
      <c r="B12" s="20" t="s">
        <v>96</v>
      </c>
      <c r="C12" s="34">
        <v>-11.563</v>
      </c>
      <c r="D12" s="34">
        <v>-9.609</v>
      </c>
      <c r="E12" s="34">
        <v>-9.709</v>
      </c>
      <c r="F12" s="34">
        <v>-9.689</v>
      </c>
      <c r="G12" s="37">
        <f t="shared" ref="G12:K12" si="3">$F$12</f>
        <v>-9.689</v>
      </c>
      <c r="H12" s="39">
        <f t="shared" si="3"/>
        <v>-9.689</v>
      </c>
      <c r="I12" s="39">
        <f t="shared" si="3"/>
        <v>-9.689</v>
      </c>
      <c r="J12" s="39">
        <f t="shared" si="3"/>
        <v>-9.689</v>
      </c>
      <c r="K12" s="41">
        <f t="shared" si="3"/>
        <v>-9.689</v>
      </c>
      <c r="L12" s="32" t="s">
        <v>95</v>
      </c>
    </row>
    <row r="13">
      <c r="B13" s="12" t="s">
        <v>101</v>
      </c>
      <c r="C13" s="43">
        <f t="shared" ref="C13:K13" si="4">C9+C10+C11+C12</f>
        <v>172.314</v>
      </c>
      <c r="D13" s="43">
        <f t="shared" si="4"/>
        <v>244.166</v>
      </c>
      <c r="E13" s="43">
        <f t="shared" si="4"/>
        <v>246.101</v>
      </c>
      <c r="F13" s="43">
        <f t="shared" si="4"/>
        <v>281.457</v>
      </c>
      <c r="G13" s="28">
        <f t="shared" si="4"/>
        <v>56.374</v>
      </c>
      <c r="H13" s="28">
        <f t="shared" si="4"/>
        <v>56.374</v>
      </c>
      <c r="I13" s="28">
        <f t="shared" si="4"/>
        <v>56.374</v>
      </c>
      <c r="J13" s="28">
        <f t="shared" si="4"/>
        <v>56.374</v>
      </c>
      <c r="K13" s="28">
        <f t="shared" si="4"/>
        <v>56.374</v>
      </c>
    </row>
    <row r="14">
      <c r="B14" s="20" t="s">
        <v>103</v>
      </c>
      <c r="C14" s="25">
        <v>107.621</v>
      </c>
      <c r="D14" s="25">
        <v>19.201</v>
      </c>
      <c r="E14" s="25">
        <v>41.423</v>
      </c>
      <c r="F14" s="25">
        <v>50.768</v>
      </c>
      <c r="G14" s="29">
        <f>owc!G17*0.12</f>
        <v>-39.998314</v>
      </c>
      <c r="H14" s="30">
        <f>owc!H17*0.12</f>
        <v>-41.5036465</v>
      </c>
      <c r="I14" s="30">
        <f>owc!I17*0.12</f>
        <v>-42.57337372</v>
      </c>
      <c r="J14" s="30">
        <f>owc!J17*0.12</f>
        <v>-43.19440781</v>
      </c>
      <c r="K14" s="31">
        <f>owc!K17*0.12</f>
        <v>-43.57051743</v>
      </c>
      <c r="L14" s="32" t="s">
        <v>106</v>
      </c>
    </row>
    <row r="15">
      <c r="B15" s="20" t="s">
        <v>107</v>
      </c>
      <c r="C15" s="25">
        <v>338.263</v>
      </c>
      <c r="D15" s="25">
        <v>420.432</v>
      </c>
      <c r="E15" s="25">
        <v>291.367</v>
      </c>
      <c r="F15" s="25">
        <v>375.541</v>
      </c>
      <c r="G15" s="29">
        <f>owc!G17*0.88</f>
        <v>-293.3209693</v>
      </c>
      <c r="H15" s="30">
        <f>owc!H17*0.88</f>
        <v>-304.3600744</v>
      </c>
      <c r="I15" s="30">
        <f>owc!I17*0.88</f>
        <v>-312.2047406</v>
      </c>
      <c r="J15" s="30">
        <f>owc!J17*0.88</f>
        <v>-316.7589906</v>
      </c>
      <c r="K15" s="31">
        <f>owc!K17*0.88</f>
        <v>-319.5171278</v>
      </c>
      <c r="L15" s="32" t="s">
        <v>106</v>
      </c>
    </row>
    <row r="16">
      <c r="B16" s="12" t="s">
        <v>111</v>
      </c>
      <c r="C16" s="43">
        <f t="shared" ref="C16:K16" si="5">C14+C15</f>
        <v>445.884</v>
      </c>
      <c r="D16" s="43">
        <f t="shared" si="5"/>
        <v>439.633</v>
      </c>
      <c r="E16" s="43">
        <f t="shared" si="5"/>
        <v>332.79</v>
      </c>
      <c r="F16" s="43">
        <f t="shared" si="5"/>
        <v>426.309</v>
      </c>
      <c r="G16" s="28">
        <f t="shared" si="5"/>
        <v>-333.3192833</v>
      </c>
      <c r="H16" s="28">
        <f t="shared" si="5"/>
        <v>-345.8637209</v>
      </c>
      <c r="I16" s="28">
        <f t="shared" si="5"/>
        <v>-354.7781143</v>
      </c>
      <c r="J16" s="28">
        <f t="shared" si="5"/>
        <v>-359.9533984</v>
      </c>
      <c r="K16" s="28">
        <f t="shared" si="5"/>
        <v>-363.0876453</v>
      </c>
    </row>
    <row r="17">
      <c r="B17" s="20" t="s">
        <v>112</v>
      </c>
      <c r="C17" s="25">
        <v>17.536</v>
      </c>
      <c r="D17" s="25">
        <v>33.146</v>
      </c>
      <c r="E17" s="25">
        <v>35.916</v>
      </c>
      <c r="F17" s="25">
        <v>26.939</v>
      </c>
      <c r="G17" s="45">
        <f t="shared" ref="G17:K17" si="6">$F$17</f>
        <v>26.939</v>
      </c>
      <c r="H17" s="45">
        <f t="shared" si="6"/>
        <v>26.939</v>
      </c>
      <c r="I17" s="45">
        <f t="shared" si="6"/>
        <v>26.939</v>
      </c>
      <c r="J17" s="45">
        <f t="shared" si="6"/>
        <v>26.939</v>
      </c>
      <c r="K17" s="45">
        <f t="shared" si="6"/>
        <v>26.939</v>
      </c>
    </row>
    <row r="18">
      <c r="B18" s="20" t="s">
        <v>115</v>
      </c>
      <c r="C18" s="34">
        <v>2.464</v>
      </c>
      <c r="D18" s="34">
        <v>4.366</v>
      </c>
      <c r="E18" s="34">
        <v>6.93</v>
      </c>
      <c r="F18" s="34">
        <v>6.196</v>
      </c>
      <c r="G18" s="47">
        <f t="shared" ref="G18:K18" si="7">$F$18</f>
        <v>6.196</v>
      </c>
      <c r="H18" s="48">
        <f t="shared" si="7"/>
        <v>6.196</v>
      </c>
      <c r="I18" s="48">
        <f t="shared" si="7"/>
        <v>6.196</v>
      </c>
      <c r="J18" s="48">
        <f t="shared" si="7"/>
        <v>6.196</v>
      </c>
      <c r="K18" s="49">
        <f t="shared" si="7"/>
        <v>6.196</v>
      </c>
      <c r="L18" s="32" t="s">
        <v>95</v>
      </c>
    </row>
    <row r="19">
      <c r="B19" s="20" t="s">
        <v>121</v>
      </c>
      <c r="C19" s="34">
        <v>14.2</v>
      </c>
      <c r="D19" s="34">
        <v>3.942</v>
      </c>
      <c r="E19" s="34">
        <v>0.764</v>
      </c>
      <c r="F19" s="34">
        <v>0.0</v>
      </c>
      <c r="G19" s="47">
        <f t="shared" ref="G19:K19" si="8">$F$19</f>
        <v>0</v>
      </c>
      <c r="H19" s="48">
        <f t="shared" si="8"/>
        <v>0</v>
      </c>
      <c r="I19" s="48">
        <f t="shared" si="8"/>
        <v>0</v>
      </c>
      <c r="J19" s="48">
        <f t="shared" si="8"/>
        <v>0</v>
      </c>
      <c r="K19" s="49">
        <f t="shared" si="8"/>
        <v>0</v>
      </c>
      <c r="L19" s="32" t="s">
        <v>95</v>
      </c>
    </row>
    <row r="20">
      <c r="B20" s="20" t="s">
        <v>126</v>
      </c>
      <c r="C20" s="25">
        <v>0.0</v>
      </c>
      <c r="D20" s="25">
        <v>0.0</v>
      </c>
      <c r="E20" s="25">
        <v>0.0</v>
      </c>
      <c r="F20" s="25">
        <v>33.484</v>
      </c>
      <c r="G20" s="56">
        <f t="shared" ref="G20:K20" si="9">$F$20</f>
        <v>33.484</v>
      </c>
      <c r="H20" s="57">
        <f t="shared" si="9"/>
        <v>33.484</v>
      </c>
      <c r="I20" s="57">
        <f t="shared" si="9"/>
        <v>33.484</v>
      </c>
      <c r="J20" s="57">
        <f t="shared" si="9"/>
        <v>33.484</v>
      </c>
      <c r="K20" s="59">
        <f t="shared" si="9"/>
        <v>33.484</v>
      </c>
      <c r="L20" s="32" t="s">
        <v>95</v>
      </c>
    </row>
    <row r="21" ht="15.75" customHeight="1">
      <c r="B21" s="12" t="s">
        <v>128</v>
      </c>
      <c r="C21" s="61">
        <f t="shared" ref="C21:K21" si="10">C8+C13+C16+C17+C18+C19+C20</f>
        <v>820.654</v>
      </c>
      <c r="D21" s="61">
        <f t="shared" si="10"/>
        <v>809.408</v>
      </c>
      <c r="E21" s="61">
        <f t="shared" si="10"/>
        <v>760.273</v>
      </c>
      <c r="F21" s="61">
        <f t="shared" si="10"/>
        <v>880.125</v>
      </c>
      <c r="G21" s="63">
        <f t="shared" si="10"/>
        <v>105.5622469</v>
      </c>
      <c r="H21" s="63">
        <f t="shared" si="10"/>
        <v>70.91314951</v>
      </c>
      <c r="I21" s="63">
        <f t="shared" si="10"/>
        <v>62.90470863</v>
      </c>
      <c r="J21" s="63">
        <f t="shared" si="10"/>
        <v>85.90338082</v>
      </c>
      <c r="K21" s="63">
        <f t="shared" si="10"/>
        <v>132.7203798</v>
      </c>
    </row>
    <row r="22" ht="15.75" customHeight="1"/>
    <row r="23" ht="15.75" customHeight="1">
      <c r="B23" s="24" t="s">
        <v>135</v>
      </c>
    </row>
    <row r="24" ht="15.75" customHeight="1">
      <c r="B24" s="20" t="s">
        <v>136</v>
      </c>
      <c r="C24" s="25">
        <v>97.057</v>
      </c>
      <c r="D24" s="25">
        <v>64.179</v>
      </c>
      <c r="E24" s="25">
        <v>73.7</v>
      </c>
      <c r="F24" s="25">
        <v>99.639</v>
      </c>
      <c r="G24" s="64">
        <f t="shared" ref="G24:K24" si="11">G26*0.4</f>
        <v>132.0495306</v>
      </c>
      <c r="H24" s="65">
        <f t="shared" si="11"/>
        <v>163.7085295</v>
      </c>
      <c r="I24" s="65">
        <f t="shared" si="11"/>
        <v>195.5891414</v>
      </c>
      <c r="J24" s="65">
        <f t="shared" si="11"/>
        <v>226.5678676</v>
      </c>
      <c r="K24" s="66">
        <f t="shared" si="11"/>
        <v>257.2368065</v>
      </c>
      <c r="L24" s="32" t="s">
        <v>106</v>
      </c>
    </row>
    <row r="25" ht="15.75" customHeight="1">
      <c r="B25" s="20" t="s">
        <v>139</v>
      </c>
      <c r="C25" s="25">
        <v>44.656</v>
      </c>
      <c r="D25" s="25">
        <v>126.778</v>
      </c>
      <c r="E25" s="25">
        <v>135.905</v>
      </c>
      <c r="F25" s="25">
        <v>147.269</v>
      </c>
      <c r="G25" s="69">
        <f t="shared" ref="G25:K25" si="12">G26*0.6</f>
        <v>198.0742959</v>
      </c>
      <c r="H25" s="70">
        <f t="shared" si="12"/>
        <v>245.5627943</v>
      </c>
      <c r="I25" s="70">
        <f t="shared" si="12"/>
        <v>293.3837121</v>
      </c>
      <c r="J25" s="70">
        <f t="shared" si="12"/>
        <v>339.8518014</v>
      </c>
      <c r="K25" s="72">
        <f t="shared" si="12"/>
        <v>385.8552097</v>
      </c>
      <c r="L25" s="32" t="s">
        <v>106</v>
      </c>
    </row>
    <row r="26" ht="15.75" customHeight="1">
      <c r="B26" s="12" t="s">
        <v>143</v>
      </c>
      <c r="C26" s="43">
        <f t="shared" ref="C26:F26" si="13">C24+C25</f>
        <v>141.713</v>
      </c>
      <c r="D26" s="43">
        <f t="shared" si="13"/>
        <v>190.957</v>
      </c>
      <c r="E26" s="43">
        <f t="shared" si="13"/>
        <v>209.605</v>
      </c>
      <c r="F26" s="43">
        <f t="shared" si="13"/>
        <v>246.908</v>
      </c>
      <c r="G26" s="27">
        <f>dep!G14</f>
        <v>330.1238266</v>
      </c>
      <c r="H26" s="27">
        <f>dep!H14</f>
        <v>409.2713238</v>
      </c>
      <c r="I26" s="27">
        <f>dep!I14</f>
        <v>488.9728535</v>
      </c>
      <c r="J26" s="27">
        <f>dep!J14</f>
        <v>566.4196689</v>
      </c>
      <c r="K26" s="27">
        <f>dep!K14</f>
        <v>643.0920162</v>
      </c>
    </row>
    <row r="27" ht="15.75" customHeight="1">
      <c r="B27" s="20" t="s">
        <v>148</v>
      </c>
      <c r="C27" s="25">
        <v>-63.58</v>
      </c>
      <c r="D27" s="25">
        <v>-67.223</v>
      </c>
      <c r="E27" s="25">
        <v>-81.316</v>
      </c>
      <c r="F27" s="25">
        <v>-99.154</v>
      </c>
      <c r="G27" s="27">
        <f>dep!G15</f>
        <v>-122.8242392</v>
      </c>
      <c r="H27" s="27">
        <f>dep!H15</f>
        <v>-153.6834062</v>
      </c>
      <c r="I27" s="27">
        <f>dep!I15</f>
        <v>-190.6132415</v>
      </c>
      <c r="J27" s="27">
        <f>dep!J15</f>
        <v>-232.7486189</v>
      </c>
      <c r="K27" s="27">
        <f>dep!K15</f>
        <v>-279.2495219</v>
      </c>
    </row>
    <row r="28" ht="15.75" customHeight="1">
      <c r="B28" s="12" t="s">
        <v>151</v>
      </c>
      <c r="C28" s="43">
        <f t="shared" ref="C28:K28" si="14">C26+C27</f>
        <v>78.133</v>
      </c>
      <c r="D28" s="43">
        <f t="shared" si="14"/>
        <v>123.734</v>
      </c>
      <c r="E28" s="43">
        <f t="shared" si="14"/>
        <v>128.289</v>
      </c>
      <c r="F28" s="43">
        <f t="shared" si="14"/>
        <v>147.754</v>
      </c>
      <c r="G28" s="43">
        <f t="shared" si="14"/>
        <v>207.2995874</v>
      </c>
      <c r="H28" s="43">
        <f t="shared" si="14"/>
        <v>255.5879176</v>
      </c>
      <c r="I28" s="43">
        <f t="shared" si="14"/>
        <v>298.3596121</v>
      </c>
      <c r="J28" s="43">
        <f t="shared" si="14"/>
        <v>333.67105</v>
      </c>
      <c r="K28" s="43">
        <f t="shared" si="14"/>
        <v>363.8424943</v>
      </c>
    </row>
    <row r="29" ht="15.75" customHeight="1">
      <c r="B29" s="20" t="s">
        <v>153</v>
      </c>
      <c r="C29" s="25">
        <v>184.402</v>
      </c>
      <c r="D29" s="25">
        <v>325.948</v>
      </c>
      <c r="E29" s="25">
        <v>323.675</v>
      </c>
      <c r="F29" s="25">
        <v>347.943</v>
      </c>
      <c r="G29" s="47">
        <f t="shared" ref="G29:K29" si="15">$F$29</f>
        <v>347.943</v>
      </c>
      <c r="H29" s="48">
        <f t="shared" si="15"/>
        <v>347.943</v>
      </c>
      <c r="I29" s="48">
        <f t="shared" si="15"/>
        <v>347.943</v>
      </c>
      <c r="J29" s="48">
        <f t="shared" si="15"/>
        <v>347.943</v>
      </c>
      <c r="K29" s="49">
        <f t="shared" si="15"/>
        <v>347.943</v>
      </c>
      <c r="L29" s="32" t="s">
        <v>95</v>
      </c>
    </row>
    <row r="30" ht="15.75" customHeight="1">
      <c r="B30" s="20" t="s">
        <v>156</v>
      </c>
      <c r="C30" s="25">
        <v>56.645</v>
      </c>
      <c r="D30" s="25">
        <v>73.08</v>
      </c>
      <c r="E30" s="25">
        <v>86.613</v>
      </c>
      <c r="F30" s="25">
        <v>102.798</v>
      </c>
      <c r="G30" s="27">
        <f>amort!G14</f>
        <v>132.1678959</v>
      </c>
      <c r="H30" s="27">
        <f>amort!H14</f>
        <v>155.59724</v>
      </c>
      <c r="I30" s="27">
        <f>amort!I14</f>
        <v>173.5571551</v>
      </c>
      <c r="J30" s="27">
        <f>amort!J14</f>
        <v>186.641473</v>
      </c>
      <c r="K30" s="27">
        <f>amort!K14</f>
        <v>195.3165867</v>
      </c>
    </row>
    <row r="31" ht="15.75" customHeight="1">
      <c r="B31" s="12" t="s">
        <v>161</v>
      </c>
      <c r="C31" s="43">
        <f t="shared" ref="C31:K31" si="16">C29+C30</f>
        <v>241.047</v>
      </c>
      <c r="D31" s="43">
        <f t="shared" si="16"/>
        <v>399.028</v>
      </c>
      <c r="E31" s="43">
        <f t="shared" si="16"/>
        <v>410.288</v>
      </c>
      <c r="F31" s="43">
        <f t="shared" si="16"/>
        <v>450.741</v>
      </c>
      <c r="G31" s="43">
        <f t="shared" si="16"/>
        <v>480.1108959</v>
      </c>
      <c r="H31" s="43">
        <f t="shared" si="16"/>
        <v>503.54024</v>
      </c>
      <c r="I31" s="43">
        <f t="shared" si="16"/>
        <v>521.5001551</v>
      </c>
      <c r="J31" s="43">
        <f t="shared" si="16"/>
        <v>534.584473</v>
      </c>
      <c r="K31" s="43">
        <f t="shared" si="16"/>
        <v>543.2595867</v>
      </c>
    </row>
    <row r="32" ht="15.75" customHeight="1">
      <c r="B32" s="20" t="s">
        <v>166</v>
      </c>
      <c r="C32" s="34">
        <v>0.0</v>
      </c>
      <c r="D32" s="34">
        <v>0.0</v>
      </c>
      <c r="E32" s="34">
        <v>3.747</v>
      </c>
      <c r="F32" s="34">
        <v>3.816</v>
      </c>
      <c r="G32" s="45">
        <f t="shared" ref="G32:K32" si="17">$F$32</f>
        <v>3.816</v>
      </c>
      <c r="H32" s="45">
        <f t="shared" si="17"/>
        <v>3.816</v>
      </c>
      <c r="I32" s="45">
        <f t="shared" si="17"/>
        <v>3.816</v>
      </c>
      <c r="J32" s="45">
        <f t="shared" si="17"/>
        <v>3.816</v>
      </c>
      <c r="K32" s="45">
        <f t="shared" si="17"/>
        <v>3.816</v>
      </c>
    </row>
    <row r="33" ht="15.75" customHeight="1">
      <c r="B33" s="20" t="s">
        <v>168</v>
      </c>
      <c r="C33" s="34">
        <v>0.0</v>
      </c>
      <c r="D33" s="34">
        <v>0.0</v>
      </c>
      <c r="E33" s="34">
        <v>2.16</v>
      </c>
      <c r="F33" s="34">
        <v>5.496</v>
      </c>
      <c r="G33" s="45">
        <f t="shared" ref="G33:K33" si="18">$F$33</f>
        <v>5.496</v>
      </c>
      <c r="H33" s="45">
        <f t="shared" si="18"/>
        <v>5.496</v>
      </c>
      <c r="I33" s="45">
        <f t="shared" si="18"/>
        <v>5.496</v>
      </c>
      <c r="J33" s="45">
        <f t="shared" si="18"/>
        <v>5.496</v>
      </c>
      <c r="K33" s="45">
        <f t="shared" si="18"/>
        <v>5.496</v>
      </c>
    </row>
    <row r="34" ht="15.75" customHeight="1">
      <c r="B34" s="20" t="s">
        <v>170</v>
      </c>
      <c r="C34" s="25">
        <v>13.684</v>
      </c>
      <c r="D34" s="25">
        <v>29.112</v>
      </c>
      <c r="E34" s="25">
        <v>29.241</v>
      </c>
      <c r="F34" s="25">
        <v>37.556</v>
      </c>
      <c r="G34" s="45">
        <f t="shared" ref="G34:K34" si="19">$F$34</f>
        <v>37.556</v>
      </c>
      <c r="H34" s="45">
        <f t="shared" si="19"/>
        <v>37.556</v>
      </c>
      <c r="I34" s="45">
        <f t="shared" si="19"/>
        <v>37.556</v>
      </c>
      <c r="J34" s="45">
        <f t="shared" si="19"/>
        <v>37.556</v>
      </c>
      <c r="K34" s="45">
        <f t="shared" si="19"/>
        <v>37.556</v>
      </c>
    </row>
    <row r="35" ht="15.75" customHeight="1">
      <c r="B35" s="12" t="s">
        <v>174</v>
      </c>
      <c r="C35" s="61">
        <f t="shared" ref="C35:K35" si="20">C28+C31+C32+C33+C34</f>
        <v>332.864</v>
      </c>
      <c r="D35" s="61">
        <f t="shared" si="20"/>
        <v>551.874</v>
      </c>
      <c r="E35" s="61">
        <f t="shared" si="20"/>
        <v>573.725</v>
      </c>
      <c r="F35" s="61">
        <f t="shared" si="20"/>
        <v>645.363</v>
      </c>
      <c r="G35" s="61">
        <f t="shared" si="20"/>
        <v>734.2784833</v>
      </c>
      <c r="H35" s="61">
        <f t="shared" si="20"/>
        <v>805.9961577</v>
      </c>
      <c r="I35" s="61">
        <f t="shared" si="20"/>
        <v>866.7277671</v>
      </c>
      <c r="J35" s="61">
        <f t="shared" si="20"/>
        <v>915.123523</v>
      </c>
      <c r="K35" s="61">
        <f t="shared" si="20"/>
        <v>953.970081</v>
      </c>
    </row>
    <row r="36" ht="15.75" customHeight="1">
      <c r="B36" s="12" t="s">
        <v>176</v>
      </c>
      <c r="C36" s="73">
        <f t="shared" ref="C36:K36" si="21">C21+C35</f>
        <v>1153.518</v>
      </c>
      <c r="D36" s="73">
        <f t="shared" si="21"/>
        <v>1361.282</v>
      </c>
      <c r="E36" s="73">
        <f t="shared" si="21"/>
        <v>1333.998</v>
      </c>
      <c r="F36" s="73">
        <f t="shared" si="21"/>
        <v>1525.488</v>
      </c>
      <c r="G36" s="73">
        <f t="shared" si="21"/>
        <v>839.8407302</v>
      </c>
      <c r="H36" s="73">
        <f t="shared" si="21"/>
        <v>876.9093072</v>
      </c>
      <c r="I36" s="73">
        <f t="shared" si="21"/>
        <v>929.6324757</v>
      </c>
      <c r="J36" s="73">
        <f t="shared" si="21"/>
        <v>1001.026904</v>
      </c>
      <c r="K36" s="73">
        <f t="shared" si="21"/>
        <v>1086.690461</v>
      </c>
    </row>
    <row r="37" ht="15.75" customHeight="1"/>
    <row r="38" ht="15.75" customHeight="1"/>
    <row r="39" ht="15.75" customHeight="1">
      <c r="B39" s="24" t="s">
        <v>181</v>
      </c>
    </row>
    <row r="40" ht="15.75" customHeight="1">
      <c r="B40" s="20" t="s">
        <v>149</v>
      </c>
      <c r="C40" s="25">
        <v>292.272</v>
      </c>
      <c r="D40" s="25">
        <v>261.336</v>
      </c>
      <c r="E40" s="25">
        <v>273.269</v>
      </c>
      <c r="F40" s="25">
        <v>309.918</v>
      </c>
      <c r="G40" s="27">
        <f>owc!G20</f>
        <v>103</v>
      </c>
      <c r="H40" s="27">
        <f>owc!H20</f>
        <v>100</v>
      </c>
      <c r="I40" s="27">
        <f>owc!I20</f>
        <v>97</v>
      </c>
      <c r="J40" s="27">
        <f>owc!J20</f>
        <v>95</v>
      </c>
      <c r="K40" s="27">
        <f>owc!K20</f>
        <v>93</v>
      </c>
    </row>
    <row r="41" ht="15.75" customHeight="1">
      <c r="B41" s="20" t="s">
        <v>185</v>
      </c>
      <c r="C41" s="25">
        <v>16.499</v>
      </c>
      <c r="D41" s="25">
        <v>16.362</v>
      </c>
      <c r="E41" s="25">
        <v>15.445</v>
      </c>
      <c r="F41" s="25">
        <v>30.317</v>
      </c>
      <c r="G41" s="47">
        <f t="shared" ref="G41:K41" si="22">$F$41</f>
        <v>30.317</v>
      </c>
      <c r="H41" s="48">
        <f t="shared" si="22"/>
        <v>30.317</v>
      </c>
      <c r="I41" s="48">
        <f t="shared" si="22"/>
        <v>30.317</v>
      </c>
      <c r="J41" s="48">
        <f t="shared" si="22"/>
        <v>30.317</v>
      </c>
      <c r="K41" s="49">
        <f t="shared" si="22"/>
        <v>30.317</v>
      </c>
      <c r="L41" s="32" t="s">
        <v>95</v>
      </c>
    </row>
    <row r="42" ht="15.75" customHeight="1">
      <c r="B42" s="20" t="s">
        <v>189</v>
      </c>
      <c r="C42" s="25">
        <v>13.313</v>
      </c>
      <c r="D42" s="25">
        <v>14.767</v>
      </c>
      <c r="E42" s="25">
        <v>15.099</v>
      </c>
      <c r="F42" s="25">
        <v>15.745</v>
      </c>
      <c r="G42" s="56">
        <f t="shared" ref="G42:K42" si="23">$F$42</f>
        <v>15.745</v>
      </c>
      <c r="H42" s="57">
        <f t="shared" si="23"/>
        <v>15.745</v>
      </c>
      <c r="I42" s="57">
        <f t="shared" si="23"/>
        <v>15.745</v>
      </c>
      <c r="J42" s="57">
        <f t="shared" si="23"/>
        <v>15.745</v>
      </c>
      <c r="K42" s="59">
        <f t="shared" si="23"/>
        <v>15.745</v>
      </c>
      <c r="L42" s="32" t="s">
        <v>95</v>
      </c>
    </row>
    <row r="43" ht="15.75" customHeight="1">
      <c r="B43" s="20" t="s">
        <v>192</v>
      </c>
      <c r="C43" s="34">
        <v>0.0</v>
      </c>
      <c r="D43" s="34">
        <v>3.245</v>
      </c>
      <c r="E43" s="34">
        <v>2.735</v>
      </c>
      <c r="F43" s="34">
        <v>1.049</v>
      </c>
      <c r="G43" s="27">
        <f>debt!G22</f>
        <v>1.049</v>
      </c>
      <c r="H43" s="27">
        <f>debt!H22</f>
        <v>1.049</v>
      </c>
      <c r="I43" s="27">
        <f>debt!I22</f>
        <v>1.049</v>
      </c>
      <c r="J43" s="27">
        <f>debt!J22</f>
        <v>1.049</v>
      </c>
      <c r="K43" s="27">
        <f>debt!K22</f>
        <v>1.049</v>
      </c>
    </row>
    <row r="44" ht="15.75" customHeight="1">
      <c r="B44" s="20" t="s">
        <v>198</v>
      </c>
      <c r="C44" s="25">
        <v>12.172</v>
      </c>
      <c r="D44" s="25">
        <v>19.777</v>
      </c>
      <c r="E44" s="25">
        <v>22.02</v>
      </c>
      <c r="F44" s="25">
        <v>24.246</v>
      </c>
      <c r="G44" s="27">
        <f>debt!G30</f>
        <v>24.246</v>
      </c>
      <c r="H44" s="27">
        <f>debt!H30</f>
        <v>24.246</v>
      </c>
      <c r="I44" s="27">
        <f>debt!I30</f>
        <v>24.246</v>
      </c>
      <c r="J44" s="27">
        <f>debt!J30</f>
        <v>24.246</v>
      </c>
      <c r="K44" s="27">
        <f>debt!K30</f>
        <v>24.246</v>
      </c>
    </row>
    <row r="45" ht="15.75" customHeight="1">
      <c r="B45" s="12" t="s">
        <v>201</v>
      </c>
      <c r="C45" s="43">
        <f t="shared" ref="C45:K45" si="24">C43+C44</f>
        <v>12.172</v>
      </c>
      <c r="D45" s="43">
        <f t="shared" si="24"/>
        <v>23.022</v>
      </c>
      <c r="E45" s="43">
        <f t="shared" si="24"/>
        <v>24.755</v>
      </c>
      <c r="F45" s="43">
        <f t="shared" si="24"/>
        <v>25.295</v>
      </c>
      <c r="G45" s="43">
        <f t="shared" si="24"/>
        <v>25.295</v>
      </c>
      <c r="H45" s="43">
        <f t="shared" si="24"/>
        <v>25.295</v>
      </c>
      <c r="I45" s="43">
        <f t="shared" si="24"/>
        <v>25.295</v>
      </c>
      <c r="J45" s="43">
        <f t="shared" si="24"/>
        <v>25.295</v>
      </c>
      <c r="K45" s="43">
        <f t="shared" si="24"/>
        <v>25.295</v>
      </c>
    </row>
    <row r="46" ht="15.75" customHeight="1">
      <c r="B46" s="20" t="s">
        <v>202</v>
      </c>
      <c r="C46" s="25">
        <v>8.849</v>
      </c>
      <c r="D46" s="25">
        <v>6.285</v>
      </c>
      <c r="E46" s="25">
        <v>9.376</v>
      </c>
      <c r="F46" s="25">
        <v>5.312</v>
      </c>
      <c r="G46" s="47">
        <f t="shared" ref="G46:K46" si="25">$F$46</f>
        <v>5.312</v>
      </c>
      <c r="H46" s="48">
        <f t="shared" si="25"/>
        <v>5.312</v>
      </c>
      <c r="I46" s="48">
        <f t="shared" si="25"/>
        <v>5.312</v>
      </c>
      <c r="J46" s="48">
        <f t="shared" si="25"/>
        <v>5.312</v>
      </c>
      <c r="K46" s="49">
        <f t="shared" si="25"/>
        <v>5.312</v>
      </c>
      <c r="L46" s="32" t="s">
        <v>95</v>
      </c>
    </row>
    <row r="47" ht="15.75" customHeight="1">
      <c r="B47" s="12" t="s">
        <v>204</v>
      </c>
      <c r="C47" s="61">
        <f t="shared" ref="C47:K47" si="26">C40+C41+C42+C45+C46</f>
        <v>343.105</v>
      </c>
      <c r="D47" s="61">
        <f t="shared" si="26"/>
        <v>321.772</v>
      </c>
      <c r="E47" s="61">
        <f t="shared" si="26"/>
        <v>337.944</v>
      </c>
      <c r="F47" s="61">
        <f t="shared" si="26"/>
        <v>386.587</v>
      </c>
      <c r="G47" s="63">
        <f t="shared" si="26"/>
        <v>179.669</v>
      </c>
      <c r="H47" s="63">
        <f t="shared" si="26"/>
        <v>176.669</v>
      </c>
      <c r="I47" s="63">
        <f t="shared" si="26"/>
        <v>173.669</v>
      </c>
      <c r="J47" s="63">
        <f t="shared" si="26"/>
        <v>171.669</v>
      </c>
      <c r="K47" s="63">
        <f t="shared" si="26"/>
        <v>169.669</v>
      </c>
    </row>
    <row r="48" ht="15.75" customHeight="1"/>
    <row r="49" ht="15.75" customHeight="1">
      <c r="B49" s="24" t="s">
        <v>208</v>
      </c>
    </row>
    <row r="50" ht="15.75" customHeight="1">
      <c r="B50" s="20" t="s">
        <v>209</v>
      </c>
      <c r="C50" s="25">
        <v>172.349</v>
      </c>
      <c r="D50" s="25">
        <v>202.2</v>
      </c>
      <c r="E50" s="25">
        <v>81.431</v>
      </c>
      <c r="F50" s="25">
        <v>56.234</v>
      </c>
      <c r="G50" s="27">
        <f>debt!G23</f>
        <v>47.7989</v>
      </c>
      <c r="H50" s="27">
        <f>debt!H23</f>
        <v>40.629065</v>
      </c>
      <c r="I50" s="27">
        <f>debt!I23</f>
        <v>34.53470525</v>
      </c>
      <c r="J50" s="27">
        <f>debt!J23</f>
        <v>29.35449946</v>
      </c>
      <c r="K50" s="27">
        <f>debt!K23</f>
        <v>24.95132454</v>
      </c>
    </row>
    <row r="51" ht="15.75" customHeight="1">
      <c r="B51" s="20" t="s">
        <v>211</v>
      </c>
      <c r="C51" s="25">
        <v>37.643</v>
      </c>
      <c r="D51" s="25">
        <v>55.272</v>
      </c>
      <c r="E51" s="25">
        <v>49.797</v>
      </c>
      <c r="F51" s="25">
        <v>36.935</v>
      </c>
      <c r="G51" s="27">
        <f>debt!G31</f>
        <v>38.78175</v>
      </c>
      <c r="H51" s="27">
        <f>debt!H31</f>
        <v>40.7208375</v>
      </c>
      <c r="I51" s="27">
        <f>debt!I31</f>
        <v>42.75687938</v>
      </c>
      <c r="J51" s="27">
        <f>debt!J31</f>
        <v>44.89472334</v>
      </c>
      <c r="K51" s="27">
        <f>debt!K31</f>
        <v>47.13945951</v>
      </c>
    </row>
    <row r="52" ht="15.75" customHeight="1">
      <c r="B52" s="12" t="s">
        <v>213</v>
      </c>
      <c r="C52" s="43">
        <f t="shared" ref="C52:K52" si="27">C50+C51</f>
        <v>209.992</v>
      </c>
      <c r="D52" s="43">
        <f t="shared" si="27"/>
        <v>257.472</v>
      </c>
      <c r="E52" s="43">
        <f t="shared" si="27"/>
        <v>131.228</v>
      </c>
      <c r="F52" s="43">
        <f t="shared" si="27"/>
        <v>93.169</v>
      </c>
      <c r="G52" s="43">
        <f t="shared" si="27"/>
        <v>86.58065</v>
      </c>
      <c r="H52" s="43">
        <f t="shared" si="27"/>
        <v>81.3499025</v>
      </c>
      <c r="I52" s="43">
        <f t="shared" si="27"/>
        <v>77.29158463</v>
      </c>
      <c r="J52" s="43">
        <f t="shared" si="27"/>
        <v>74.24922281</v>
      </c>
      <c r="K52" s="43">
        <f t="shared" si="27"/>
        <v>72.09078405</v>
      </c>
    </row>
    <row r="53" ht="15.75" customHeight="1">
      <c r="B53" s="20" t="s">
        <v>216</v>
      </c>
      <c r="C53" s="34">
        <v>0.105</v>
      </c>
      <c r="D53" s="34">
        <v>22.155</v>
      </c>
      <c r="E53" s="34">
        <v>19.413</v>
      </c>
      <c r="F53" s="34">
        <v>23.037</v>
      </c>
      <c r="G53" s="47">
        <f t="shared" ref="G53:K53" si="28">$F$53</f>
        <v>23.037</v>
      </c>
      <c r="H53" s="48">
        <f t="shared" si="28"/>
        <v>23.037</v>
      </c>
      <c r="I53" s="48">
        <f t="shared" si="28"/>
        <v>23.037</v>
      </c>
      <c r="J53" s="48">
        <f t="shared" si="28"/>
        <v>23.037</v>
      </c>
      <c r="K53" s="49">
        <f t="shared" si="28"/>
        <v>23.037</v>
      </c>
      <c r="L53" s="32" t="s">
        <v>95</v>
      </c>
    </row>
    <row r="54" ht="15.75" customHeight="1">
      <c r="B54" s="20" t="s">
        <v>218</v>
      </c>
      <c r="C54" s="34">
        <v>0.0</v>
      </c>
      <c r="D54" s="34">
        <v>0.0</v>
      </c>
      <c r="E54" s="34">
        <v>0.0</v>
      </c>
      <c r="F54" s="34">
        <v>9.77</v>
      </c>
      <c r="G54" s="47">
        <f t="shared" ref="G54:K54" si="29">$F$54</f>
        <v>9.77</v>
      </c>
      <c r="H54" s="48">
        <f t="shared" si="29"/>
        <v>9.77</v>
      </c>
      <c r="I54" s="48">
        <f t="shared" si="29"/>
        <v>9.77</v>
      </c>
      <c r="J54" s="48">
        <f t="shared" si="29"/>
        <v>9.77</v>
      </c>
      <c r="K54" s="49">
        <f t="shared" si="29"/>
        <v>9.77</v>
      </c>
      <c r="L54" s="32" t="s">
        <v>95</v>
      </c>
    </row>
    <row r="55" ht="15.75" customHeight="1">
      <c r="B55" s="20" t="s">
        <v>219</v>
      </c>
      <c r="C55" s="34">
        <v>1.763</v>
      </c>
      <c r="D55" s="34">
        <v>3.794</v>
      </c>
      <c r="E55" s="34">
        <v>4.272</v>
      </c>
      <c r="F55" s="34">
        <v>4.707</v>
      </c>
      <c r="G55" s="56">
        <f t="shared" ref="G55:K55" si="30">$F$55</f>
        <v>4.707</v>
      </c>
      <c r="H55" s="57">
        <f t="shared" si="30"/>
        <v>4.707</v>
      </c>
      <c r="I55" s="57">
        <f t="shared" si="30"/>
        <v>4.707</v>
      </c>
      <c r="J55" s="57">
        <f t="shared" si="30"/>
        <v>4.707</v>
      </c>
      <c r="K55" s="59">
        <f t="shared" si="30"/>
        <v>4.707</v>
      </c>
      <c r="L55" s="32" t="s">
        <v>95</v>
      </c>
    </row>
    <row r="56" ht="15.75" customHeight="1">
      <c r="B56" s="12" t="s">
        <v>221</v>
      </c>
      <c r="C56" s="61">
        <f t="shared" ref="C56:K56" si="31">C52+C53+C54+C55</f>
        <v>211.86</v>
      </c>
      <c r="D56" s="61">
        <f t="shared" si="31"/>
        <v>283.421</v>
      </c>
      <c r="E56" s="61">
        <f t="shared" si="31"/>
        <v>154.913</v>
      </c>
      <c r="F56" s="61">
        <f t="shared" si="31"/>
        <v>130.683</v>
      </c>
      <c r="G56" s="63">
        <f t="shared" si="31"/>
        <v>124.09465</v>
      </c>
      <c r="H56" s="63">
        <f t="shared" si="31"/>
        <v>118.8639025</v>
      </c>
      <c r="I56" s="63">
        <f t="shared" si="31"/>
        <v>114.8055846</v>
      </c>
      <c r="J56" s="63">
        <f t="shared" si="31"/>
        <v>111.7632228</v>
      </c>
      <c r="K56" s="63">
        <f t="shared" si="31"/>
        <v>109.6047841</v>
      </c>
    </row>
    <row r="57" ht="15.75" customHeight="1">
      <c r="B57" s="12" t="s">
        <v>223</v>
      </c>
      <c r="C57" s="73">
        <f t="shared" ref="C57:K57" si="32">C47+C56</f>
        <v>554.965</v>
      </c>
      <c r="D57" s="73">
        <f t="shared" si="32"/>
        <v>605.193</v>
      </c>
      <c r="E57" s="73">
        <f t="shared" si="32"/>
        <v>492.857</v>
      </c>
      <c r="F57" s="73">
        <f t="shared" si="32"/>
        <v>517.27</v>
      </c>
      <c r="G57" s="73">
        <f t="shared" si="32"/>
        <v>303.76365</v>
      </c>
      <c r="H57" s="73">
        <f t="shared" si="32"/>
        <v>295.5329025</v>
      </c>
      <c r="I57" s="73">
        <f t="shared" si="32"/>
        <v>288.4745846</v>
      </c>
      <c r="J57" s="73">
        <f t="shared" si="32"/>
        <v>283.4322228</v>
      </c>
      <c r="K57" s="73">
        <f t="shared" si="32"/>
        <v>279.2737841</v>
      </c>
    </row>
    <row r="58" ht="15.75" customHeight="1"/>
    <row r="59" ht="15.75" customHeight="1">
      <c r="B59" s="24" t="s">
        <v>225</v>
      </c>
    </row>
    <row r="60" ht="15.75" customHeight="1">
      <c r="B60" s="20" t="s">
        <v>226</v>
      </c>
      <c r="C60" s="25">
        <v>323.165</v>
      </c>
      <c r="D60" s="25">
        <v>385.541</v>
      </c>
      <c r="E60" s="25">
        <v>401.129</v>
      </c>
      <c r="F60" s="25">
        <v>418.449</v>
      </c>
      <c r="G60" s="27">
        <f>equity!G14</f>
        <v>435.449</v>
      </c>
      <c r="H60" s="27">
        <f>equity!H14</f>
        <v>452.449</v>
      </c>
      <c r="I60" s="27">
        <f>equity!I14</f>
        <v>469.449</v>
      </c>
      <c r="J60" s="27">
        <f>equity!J14</f>
        <v>486.449</v>
      </c>
      <c r="K60" s="27">
        <f>equity!K14</f>
        <v>503.449</v>
      </c>
    </row>
    <row r="61" ht="15.75" customHeight="1">
      <c r="B61" s="20" t="s">
        <v>228</v>
      </c>
      <c r="C61" s="25">
        <v>277.407</v>
      </c>
      <c r="D61" s="25">
        <v>344.781</v>
      </c>
      <c r="E61" s="25">
        <v>418.108</v>
      </c>
      <c r="F61" s="25">
        <v>503.583</v>
      </c>
      <c r="G61" s="27">
        <f>equity!G20</f>
        <v>598.0749153</v>
      </c>
      <c r="H61" s="27">
        <f>equity!H20</f>
        <v>703.308162</v>
      </c>
      <c r="I61" s="27">
        <f>equity!I20</f>
        <v>819.9545543</v>
      </c>
      <c r="J61" s="27">
        <f>equity!J20</f>
        <v>946.9997743</v>
      </c>
      <c r="K61" s="27">
        <f>equity!K20</f>
        <v>1085.764322</v>
      </c>
    </row>
    <row r="62" ht="15.75" customHeight="1">
      <c r="B62" s="20" t="s">
        <v>232</v>
      </c>
      <c r="C62" s="25">
        <v>7.54</v>
      </c>
      <c r="D62" s="25">
        <v>34.526</v>
      </c>
      <c r="E62" s="25">
        <v>26.538</v>
      </c>
      <c r="F62" s="25">
        <v>55.897</v>
      </c>
      <c r="G62" s="47">
        <f t="shared" ref="G62:K62" si="33">$F$62</f>
        <v>55.897</v>
      </c>
      <c r="H62" s="48">
        <f t="shared" si="33"/>
        <v>55.897</v>
      </c>
      <c r="I62" s="48">
        <f t="shared" si="33"/>
        <v>55.897</v>
      </c>
      <c r="J62" s="48">
        <f t="shared" si="33"/>
        <v>55.897</v>
      </c>
      <c r="K62" s="49">
        <f t="shared" si="33"/>
        <v>55.897</v>
      </c>
      <c r="L62" s="32" t="s">
        <v>95</v>
      </c>
    </row>
    <row r="63" ht="15.75" customHeight="1">
      <c r="B63" s="20" t="s">
        <v>235</v>
      </c>
      <c r="C63" s="34">
        <v>6.305</v>
      </c>
      <c r="D63" s="34">
        <v>4.811</v>
      </c>
      <c r="E63" s="34">
        <v>2.439</v>
      </c>
      <c r="F63" s="34">
        <v>-4.22</v>
      </c>
      <c r="G63" s="56">
        <f t="shared" ref="G63:K63" si="34">$F$63</f>
        <v>-4.22</v>
      </c>
      <c r="H63" s="57">
        <f t="shared" si="34"/>
        <v>-4.22</v>
      </c>
      <c r="I63" s="57">
        <f t="shared" si="34"/>
        <v>-4.22</v>
      </c>
      <c r="J63" s="57">
        <f t="shared" si="34"/>
        <v>-4.22</v>
      </c>
      <c r="K63" s="59">
        <f t="shared" si="34"/>
        <v>-4.22</v>
      </c>
      <c r="L63" s="32" t="s">
        <v>95</v>
      </c>
    </row>
    <row r="64" ht="15.75" customHeight="1">
      <c r="B64" s="12" t="s">
        <v>240</v>
      </c>
      <c r="C64" s="43">
        <f t="shared" ref="C64:K64" si="35">C60+C61+C62+C63</f>
        <v>614.417</v>
      </c>
      <c r="D64" s="43">
        <f t="shared" si="35"/>
        <v>769.659</v>
      </c>
      <c r="E64" s="43">
        <f t="shared" si="35"/>
        <v>848.214</v>
      </c>
      <c r="F64" s="43">
        <f t="shared" si="35"/>
        <v>973.709</v>
      </c>
      <c r="G64" s="28">
        <f t="shared" si="35"/>
        <v>1085.200915</v>
      </c>
      <c r="H64" s="28">
        <f t="shared" si="35"/>
        <v>1207.434162</v>
      </c>
      <c r="I64" s="28">
        <f t="shared" si="35"/>
        <v>1341.080554</v>
      </c>
      <c r="J64" s="28">
        <f t="shared" si="35"/>
        <v>1485.125774</v>
      </c>
      <c r="K64" s="28">
        <f t="shared" si="35"/>
        <v>1640.890322</v>
      </c>
    </row>
    <row r="65" ht="15.75" customHeight="1">
      <c r="B65" s="12" t="s">
        <v>247</v>
      </c>
      <c r="C65" s="73">
        <f t="shared" ref="C65:K65" si="36">C57+C64</f>
        <v>1169.382</v>
      </c>
      <c r="D65" s="73">
        <f t="shared" si="36"/>
        <v>1374.852</v>
      </c>
      <c r="E65" s="73">
        <f t="shared" si="36"/>
        <v>1341.071</v>
      </c>
      <c r="F65" s="73">
        <f t="shared" si="36"/>
        <v>1490.979</v>
      </c>
      <c r="G65" s="73">
        <f t="shared" si="36"/>
        <v>1388.964565</v>
      </c>
      <c r="H65" s="73">
        <f t="shared" si="36"/>
        <v>1502.967065</v>
      </c>
      <c r="I65" s="73">
        <f t="shared" si="36"/>
        <v>1629.555139</v>
      </c>
      <c r="J65" s="73">
        <f t="shared" si="36"/>
        <v>1768.557997</v>
      </c>
      <c r="K65" s="73">
        <f t="shared" si="36"/>
        <v>1920.164107</v>
      </c>
    </row>
    <row r="66" ht="15.75" customHeight="1"/>
    <row r="67" ht="15.75" customHeight="1">
      <c r="B67" s="38" t="s">
        <v>251</v>
      </c>
      <c r="C67" s="122">
        <f t="shared" ref="C67:K67" si="37">C36-C65</f>
        <v>-15.864</v>
      </c>
      <c r="D67" s="123">
        <f t="shared" si="37"/>
        <v>-13.57</v>
      </c>
      <c r="E67" s="123">
        <f t="shared" si="37"/>
        <v>-7.073</v>
      </c>
      <c r="F67" s="123">
        <f t="shared" si="37"/>
        <v>34.509</v>
      </c>
      <c r="G67" s="123">
        <f t="shared" si="37"/>
        <v>-549.1238351</v>
      </c>
      <c r="H67" s="123">
        <f t="shared" si="37"/>
        <v>-626.0577574</v>
      </c>
      <c r="I67" s="123">
        <f t="shared" si="37"/>
        <v>-699.9226632</v>
      </c>
      <c r="J67" s="123">
        <f t="shared" si="37"/>
        <v>-767.5310934</v>
      </c>
      <c r="K67" s="125">
        <f t="shared" si="37"/>
        <v>-833.4736457</v>
      </c>
      <c r="L67" s="32" t="s">
        <v>256</v>
      </c>
    </row>
    <row r="68" ht="15.75" customHeight="1"/>
    <row r="69" ht="15.75" customHeight="1">
      <c r="B69" s="24" t="s">
        <v>257</v>
      </c>
    </row>
    <row r="70" ht="15.75" customHeight="1">
      <c r="B70" s="20" t="s">
        <v>258</v>
      </c>
      <c r="C70" s="42">
        <f t="shared" ref="C70:K70" si="38">C43+C50+C44+C51</f>
        <v>222.164</v>
      </c>
      <c r="D70" s="42">
        <f t="shared" si="38"/>
        <v>280.494</v>
      </c>
      <c r="E70" s="42">
        <f t="shared" si="38"/>
        <v>155.983</v>
      </c>
      <c r="F70" s="42">
        <f t="shared" si="38"/>
        <v>118.464</v>
      </c>
      <c r="G70" s="42">
        <f t="shared" si="38"/>
        <v>111.87565</v>
      </c>
      <c r="H70" s="42">
        <f t="shared" si="38"/>
        <v>106.6449025</v>
      </c>
      <c r="I70" s="42">
        <f t="shared" si="38"/>
        <v>102.5865846</v>
      </c>
      <c r="J70" s="42">
        <f t="shared" si="38"/>
        <v>99.54422281</v>
      </c>
      <c r="K70" s="42">
        <f t="shared" si="38"/>
        <v>97.38578405</v>
      </c>
    </row>
    <row r="71" ht="15.75" customHeight="1">
      <c r="B71" s="12" t="s">
        <v>260</v>
      </c>
      <c r="C71" s="28">
        <f t="shared" ref="C71:K71" si="39">C70-C8</f>
        <v>53.908</v>
      </c>
      <c r="D71" s="28">
        <f t="shared" si="39"/>
        <v>196.339</v>
      </c>
      <c r="E71" s="28">
        <f t="shared" si="39"/>
        <v>18.211</v>
      </c>
      <c r="F71" s="28">
        <f t="shared" si="39"/>
        <v>12.724</v>
      </c>
      <c r="G71" s="28">
        <f t="shared" si="39"/>
        <v>-204.0128802</v>
      </c>
      <c r="H71" s="28">
        <f t="shared" si="39"/>
        <v>-187.1389679</v>
      </c>
      <c r="I71" s="28">
        <f t="shared" si="39"/>
        <v>-192.1032383</v>
      </c>
      <c r="J71" s="28">
        <f t="shared" si="39"/>
        <v>-223.3195564</v>
      </c>
      <c r="K71" s="28">
        <f t="shared" si="39"/>
        <v>-275.429241</v>
      </c>
    </row>
    <row r="72" ht="15.75" customHeight="1">
      <c r="B72" s="20" t="s">
        <v>262</v>
      </c>
      <c r="C72" s="42">
        <f t="shared" ref="C72:K72" si="40">C21-C47</f>
        <v>477.549</v>
      </c>
      <c r="D72" s="42">
        <f t="shared" si="40"/>
        <v>487.636</v>
      </c>
      <c r="E72" s="42">
        <f t="shared" si="40"/>
        <v>422.329</v>
      </c>
      <c r="F72" s="42">
        <f t="shared" si="40"/>
        <v>493.538</v>
      </c>
      <c r="G72" s="42">
        <f t="shared" si="40"/>
        <v>-74.10675312</v>
      </c>
      <c r="H72" s="42">
        <f t="shared" si="40"/>
        <v>-105.7558505</v>
      </c>
      <c r="I72" s="42">
        <f t="shared" si="40"/>
        <v>-110.7642914</v>
      </c>
      <c r="J72" s="42">
        <f t="shared" si="40"/>
        <v>-85.76561918</v>
      </c>
      <c r="K72" s="42">
        <f t="shared" si="40"/>
        <v>-36.94862021</v>
      </c>
    </row>
    <row r="73" ht="15.75" customHeight="1">
      <c r="B73" s="20" t="s">
        <v>267</v>
      </c>
      <c r="C73" s="42">
        <f t="shared" ref="C73:K73" si="41">C64+C70</f>
        <v>836.581</v>
      </c>
      <c r="D73" s="42">
        <f t="shared" si="41"/>
        <v>1050.153</v>
      </c>
      <c r="E73" s="42">
        <f t="shared" si="41"/>
        <v>1004.197</v>
      </c>
      <c r="F73" s="42">
        <f t="shared" si="41"/>
        <v>1092.173</v>
      </c>
      <c r="G73" s="42">
        <f t="shared" si="41"/>
        <v>1197.076565</v>
      </c>
      <c r="H73" s="42">
        <f t="shared" si="41"/>
        <v>1314.079065</v>
      </c>
      <c r="I73" s="42">
        <f t="shared" si="41"/>
        <v>1443.667139</v>
      </c>
      <c r="J73" s="42">
        <f t="shared" si="41"/>
        <v>1584.669997</v>
      </c>
      <c r="K73" s="42">
        <f t="shared" si="41"/>
        <v>1738.276107</v>
      </c>
    </row>
    <row r="74" ht="15.75" customHeight="1">
      <c r="B74" s="20" t="s">
        <v>269</v>
      </c>
      <c r="C74" s="42">
        <f t="shared" ref="C74:K74" si="42">C64-C31</f>
        <v>373.37</v>
      </c>
      <c r="D74" s="42">
        <f t="shared" si="42"/>
        <v>370.631</v>
      </c>
      <c r="E74" s="42">
        <f t="shared" si="42"/>
        <v>437.926</v>
      </c>
      <c r="F74" s="42">
        <f t="shared" si="42"/>
        <v>522.968</v>
      </c>
      <c r="G74" s="42">
        <f t="shared" si="42"/>
        <v>605.0900193</v>
      </c>
      <c r="H74" s="42">
        <f t="shared" si="42"/>
        <v>703.893922</v>
      </c>
      <c r="I74" s="42">
        <f t="shared" si="42"/>
        <v>819.5803993</v>
      </c>
      <c r="J74" s="42">
        <f t="shared" si="42"/>
        <v>950.5413014</v>
      </c>
      <c r="K74" s="42">
        <f t="shared" si="42"/>
        <v>1097.630736</v>
      </c>
    </row>
    <row r="75" ht="15.75" customHeight="1">
      <c r="B75" s="20" t="s">
        <v>272</v>
      </c>
      <c r="C75" s="34">
        <v>139.36</v>
      </c>
      <c r="D75" s="34">
        <v>142.781</v>
      </c>
      <c r="E75" s="34">
        <v>143.431</v>
      </c>
      <c r="F75" s="34">
        <v>143.942</v>
      </c>
      <c r="G75" s="130">
        <f>shares!G11</f>
        <v>144.442</v>
      </c>
      <c r="H75" s="130">
        <f>shares!H11</f>
        <v>144.942</v>
      </c>
      <c r="I75" s="130">
        <f>shares!I11</f>
        <v>145.442</v>
      </c>
      <c r="J75" s="130">
        <f>shares!J11</f>
        <v>145.942</v>
      </c>
      <c r="K75" s="130">
        <f>shares!K11</f>
        <v>146.442</v>
      </c>
    </row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5:F5"/>
    <mergeCell ref="G5:K5"/>
  </mergeCells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8.0"/>
    <col customWidth="1" min="3" max="11" width="11.43"/>
    <col customWidth="1" min="12" max="26" width="8.71"/>
  </cols>
  <sheetData>
    <row r="2">
      <c r="B2" s="33" t="s">
        <v>87</v>
      </c>
    </row>
    <row r="3">
      <c r="B3" s="16" t="s">
        <v>88</v>
      </c>
    </row>
    <row r="5">
      <c r="C5" s="17" t="s">
        <v>89</v>
      </c>
      <c r="D5" s="18"/>
      <c r="E5" s="18"/>
      <c r="F5" s="18"/>
      <c r="G5" s="17" t="s">
        <v>90</v>
      </c>
      <c r="H5" s="18"/>
      <c r="I5" s="18"/>
      <c r="J5" s="18"/>
      <c r="K5" s="18"/>
    </row>
    <row r="6">
      <c r="C6" s="21" t="s">
        <v>50</v>
      </c>
      <c r="D6" s="21" t="s">
        <v>53</v>
      </c>
      <c r="E6" s="21" t="s">
        <v>56</v>
      </c>
      <c r="F6" s="21" t="s">
        <v>59</v>
      </c>
      <c r="G6" s="21" t="s">
        <v>61</v>
      </c>
      <c r="H6" s="21" t="s">
        <v>63</v>
      </c>
      <c r="I6" s="21" t="s">
        <v>67</v>
      </c>
      <c r="J6" s="21" t="s">
        <v>70</v>
      </c>
      <c r="K6" s="21" t="s">
        <v>72</v>
      </c>
    </row>
    <row r="7">
      <c r="B7" s="24" t="s">
        <v>93</v>
      </c>
    </row>
    <row r="8">
      <c r="B8" s="20" t="s">
        <v>94</v>
      </c>
      <c r="C8" s="27">
        <f>is!C43</f>
        <v>105.717</v>
      </c>
      <c r="D8" s="27">
        <f>is!D43</f>
        <v>110.208</v>
      </c>
      <c r="E8" s="27">
        <f>is!E43</f>
        <v>118.507</v>
      </c>
      <c r="F8" s="27">
        <f>is!F43</f>
        <v>135.854</v>
      </c>
      <c r="G8" s="27">
        <f>is!G43</f>
        <v>157.4865255</v>
      </c>
      <c r="H8" s="27">
        <f>is!H43</f>
        <v>175.3887446</v>
      </c>
      <c r="I8" s="27">
        <f>is!I43</f>
        <v>194.4106538</v>
      </c>
      <c r="J8" s="27">
        <f>is!J43</f>
        <v>211.7420334</v>
      </c>
      <c r="K8" s="27">
        <f>is!K43</f>
        <v>231.2742468</v>
      </c>
    </row>
    <row r="9">
      <c r="B9" s="20" t="s">
        <v>105</v>
      </c>
      <c r="C9" s="27">
        <f>is!C24</f>
        <v>30.464</v>
      </c>
      <c r="D9" s="27">
        <f>is!D24</f>
        <v>46.142</v>
      </c>
      <c r="E9" s="27">
        <f>is!E24</f>
        <v>59.785</v>
      </c>
      <c r="F9" s="27">
        <f>is!F24</f>
        <v>67.328</v>
      </c>
      <c r="G9" s="27">
        <f>is!G24</f>
        <v>49.77756093</v>
      </c>
      <c r="H9" s="27">
        <f>is!H24</f>
        <v>62.833071</v>
      </c>
      <c r="I9" s="27">
        <f>is!I24</f>
        <v>73.50254588</v>
      </c>
      <c r="J9" s="27">
        <f>is!J24</f>
        <v>82.15744725</v>
      </c>
      <c r="K9" s="27">
        <f>is!K24</f>
        <v>88.94068737</v>
      </c>
    </row>
    <row r="10">
      <c r="B10" s="20" t="s">
        <v>110</v>
      </c>
      <c r="D10" s="27">
        <f>owc!D26</f>
        <v>-95.735</v>
      </c>
      <c r="E10" s="27">
        <f>owc!E26</f>
        <v>116.182</v>
      </c>
      <c r="F10" s="27">
        <f>owc!F26</f>
        <v>-86.143</v>
      </c>
      <c r="G10" s="27">
        <f>owc!G26</f>
        <v>238.0061983</v>
      </c>
      <c r="H10" s="27">
        <f>owc!H26</f>
        <v>-23.45039725</v>
      </c>
      <c r="I10" s="27">
        <f>owc!I26</f>
        <v>-23.91447051</v>
      </c>
      <c r="J10" s="27">
        <f>owc!J26</f>
        <v>-20.29530211</v>
      </c>
      <c r="K10" s="27">
        <f>owc!K26</f>
        <v>-20.5635693</v>
      </c>
    </row>
    <row r="11">
      <c r="B11" s="20" t="s">
        <v>114</v>
      </c>
      <c r="D11" s="27">
        <f>other!D21</f>
        <v>0</v>
      </c>
      <c r="E11" s="27">
        <f>other!E21</f>
        <v>0</v>
      </c>
      <c r="F11" s="27">
        <f>other!F21</f>
        <v>0</v>
      </c>
      <c r="G11" s="27">
        <f>other!G21</f>
        <v>0</v>
      </c>
      <c r="H11" s="27">
        <f>other!H21</f>
        <v>0</v>
      </c>
      <c r="I11" s="27">
        <f>other!I21</f>
        <v>0</v>
      </c>
      <c r="J11" s="27">
        <f>other!J21</f>
        <v>0</v>
      </c>
      <c r="K11" s="27">
        <f>other!K21</f>
        <v>0</v>
      </c>
    </row>
    <row r="12">
      <c r="B12" s="20" t="s">
        <v>120</v>
      </c>
      <c r="C12" s="25">
        <v>-178.333</v>
      </c>
      <c r="D12" s="25">
        <v>0.0</v>
      </c>
      <c r="E12" s="25">
        <v>0.0</v>
      </c>
      <c r="F12" s="25">
        <v>0.0</v>
      </c>
      <c r="G12" s="50">
        <v>0.0</v>
      </c>
      <c r="H12" s="51">
        <v>0.0</v>
      </c>
      <c r="I12" s="51">
        <v>0.0</v>
      </c>
      <c r="J12" s="51">
        <v>0.0</v>
      </c>
      <c r="K12" s="52">
        <v>0.0</v>
      </c>
      <c r="L12" s="32" t="s">
        <v>123</v>
      </c>
    </row>
    <row r="13">
      <c r="B13" s="12" t="s">
        <v>124</v>
      </c>
      <c r="C13" s="53">
        <v>-42.152</v>
      </c>
      <c r="D13" s="54">
        <v>90.254</v>
      </c>
      <c r="E13" s="54">
        <v>302.615</v>
      </c>
      <c r="F13" s="55">
        <v>171.474</v>
      </c>
      <c r="G13" s="58">
        <f t="shared" ref="G13:K13" si="1">G8+G9+G10+G11+G12</f>
        <v>445.2702846</v>
      </c>
      <c r="H13" s="58">
        <f t="shared" si="1"/>
        <v>214.7714183</v>
      </c>
      <c r="I13" s="58">
        <f t="shared" si="1"/>
        <v>243.9987292</v>
      </c>
      <c r="J13" s="58">
        <f t="shared" si="1"/>
        <v>273.6041785</v>
      </c>
      <c r="K13" s="58">
        <f t="shared" si="1"/>
        <v>299.6513649</v>
      </c>
      <c r="L13" s="32" t="s">
        <v>130</v>
      </c>
    </row>
    <row r="15">
      <c r="B15" s="24" t="s">
        <v>131</v>
      </c>
    </row>
    <row r="16">
      <c r="B16" s="20" t="s">
        <v>132</v>
      </c>
      <c r="C16" s="25">
        <v>-42.692</v>
      </c>
      <c r="D16" s="25">
        <v>-53.243</v>
      </c>
      <c r="E16" s="25">
        <v>-62.119</v>
      </c>
      <c r="F16" s="25">
        <v>-100.404</v>
      </c>
      <c r="G16" s="27">
        <f>-dep!G9</f>
        <v>-83.21582655</v>
      </c>
      <c r="H16" s="27">
        <f>-dep!H9</f>
        <v>-79.14749725</v>
      </c>
      <c r="I16" s="27">
        <f>-dep!I9</f>
        <v>-79.70152973</v>
      </c>
      <c r="J16" s="27">
        <f>-dep!J9</f>
        <v>-77.4468154</v>
      </c>
      <c r="K16" s="27">
        <f>-dep!K9</f>
        <v>-76.67234725</v>
      </c>
    </row>
    <row r="17">
      <c r="B17" s="20" t="s">
        <v>134</v>
      </c>
      <c r="C17" s="25">
        <v>-26.142</v>
      </c>
      <c r="D17" s="25">
        <v>-32.764</v>
      </c>
      <c r="E17" s="25">
        <v>-37.194</v>
      </c>
      <c r="F17" s="25">
        <v>-55.728</v>
      </c>
      <c r="G17" s="27">
        <f>-amort!G9</f>
        <v>-55.4772177</v>
      </c>
      <c r="H17" s="27">
        <f>-amort!H9</f>
        <v>-55.40324808</v>
      </c>
      <c r="I17" s="27">
        <f>-amort!I9</f>
        <v>-54.53262561</v>
      </c>
      <c r="J17" s="27">
        <f>-amort!J9</f>
        <v>-53.10638771</v>
      </c>
      <c r="K17" s="27">
        <f>-amort!K9</f>
        <v>-51.11489817</v>
      </c>
    </row>
    <row r="18">
      <c r="B18" s="20" t="s">
        <v>138</v>
      </c>
      <c r="C18" s="25">
        <v>0.0</v>
      </c>
      <c r="D18" s="25">
        <v>-79.647</v>
      </c>
      <c r="E18" s="25">
        <v>0.0</v>
      </c>
      <c r="F18" s="25">
        <v>0.0</v>
      </c>
      <c r="G18" s="50">
        <v>0.0</v>
      </c>
      <c r="H18" s="51">
        <v>0.0</v>
      </c>
      <c r="I18" s="51">
        <v>0.0</v>
      </c>
      <c r="J18" s="51">
        <v>0.0</v>
      </c>
      <c r="K18" s="52">
        <v>0.0</v>
      </c>
      <c r="L18" s="32" t="s">
        <v>123</v>
      </c>
    </row>
    <row r="19">
      <c r="B19" s="12" t="s">
        <v>141</v>
      </c>
      <c r="C19" s="53">
        <v>-42.65</v>
      </c>
      <c r="D19" s="54">
        <v>-132.846</v>
      </c>
      <c r="E19" s="54">
        <v>-61.862</v>
      </c>
      <c r="F19" s="55">
        <v>-100.207</v>
      </c>
      <c r="G19" s="58">
        <f t="shared" ref="G19:K19" si="2">G16+G17+G18</f>
        <v>-138.6930443</v>
      </c>
      <c r="H19" s="58">
        <f t="shared" si="2"/>
        <v>-134.5507453</v>
      </c>
      <c r="I19" s="58">
        <f t="shared" si="2"/>
        <v>-134.2341553</v>
      </c>
      <c r="J19" s="58">
        <f t="shared" si="2"/>
        <v>-130.5532031</v>
      </c>
      <c r="K19" s="58">
        <f t="shared" si="2"/>
        <v>-127.7872454</v>
      </c>
      <c r="L19" s="32" t="s">
        <v>130</v>
      </c>
    </row>
    <row r="21" ht="15.75" customHeight="1">
      <c r="B21" s="24" t="s">
        <v>146</v>
      </c>
    </row>
    <row r="22" ht="15.75" customHeight="1">
      <c r="B22" s="20" t="s">
        <v>147</v>
      </c>
      <c r="C22" s="25">
        <v>168.921</v>
      </c>
      <c r="D22" s="25">
        <v>12.259</v>
      </c>
      <c r="E22" s="25">
        <v>-120.686</v>
      </c>
      <c r="F22" s="25">
        <v>-33.128</v>
      </c>
      <c r="G22" s="27">
        <f>debt!G9+debt!G14</f>
        <v>-8.4351</v>
      </c>
      <c r="H22" s="27">
        <f>debt!H9+debt!H14</f>
        <v>-7.169835</v>
      </c>
      <c r="I22" s="27">
        <f>debt!I9+debt!I14</f>
        <v>-6.09435975</v>
      </c>
      <c r="J22" s="27">
        <f>debt!J9+debt!J14</f>
        <v>-5.180205788</v>
      </c>
      <c r="K22" s="27">
        <f>debt!K9+debt!K14</f>
        <v>-4.403174919</v>
      </c>
    </row>
    <row r="23" ht="15.75" customHeight="1">
      <c r="B23" s="20" t="s">
        <v>152</v>
      </c>
      <c r="C23" s="25">
        <v>-39.717</v>
      </c>
      <c r="D23" s="25">
        <v>-42.834</v>
      </c>
      <c r="E23" s="25">
        <v>-45.18</v>
      </c>
      <c r="F23" s="25">
        <v>-50.379</v>
      </c>
      <c r="G23" s="27">
        <f>equity!G19</f>
        <v>-62.99461018</v>
      </c>
      <c r="H23" s="27">
        <f>equity!H19</f>
        <v>-70.15549783</v>
      </c>
      <c r="I23" s="27">
        <f>equity!I19</f>
        <v>-77.76426153</v>
      </c>
      <c r="J23" s="27">
        <f>equity!J19</f>
        <v>-84.69681336</v>
      </c>
      <c r="K23" s="27">
        <f>equity!K19</f>
        <v>-92.50969873</v>
      </c>
    </row>
    <row r="24" ht="15.75" customHeight="1">
      <c r="B24" s="20" t="s">
        <v>157</v>
      </c>
      <c r="C24" s="25">
        <v>-15.348</v>
      </c>
      <c r="D24" s="25">
        <v>-36.606</v>
      </c>
      <c r="E24" s="25">
        <v>-41.094</v>
      </c>
      <c r="F24" s="25">
        <v>-22.802</v>
      </c>
      <c r="G24" s="50">
        <v>-25.0</v>
      </c>
      <c r="H24" s="51">
        <v>-25.0</v>
      </c>
      <c r="I24" s="51">
        <v>-25.0</v>
      </c>
      <c r="J24" s="51">
        <v>-25.0</v>
      </c>
      <c r="K24" s="52">
        <v>-25.0</v>
      </c>
    </row>
    <row r="25" ht="15.75" customHeight="1">
      <c r="B25" s="12" t="s">
        <v>160</v>
      </c>
      <c r="C25" s="75">
        <v>121.53</v>
      </c>
      <c r="D25" s="75">
        <v>-48.878</v>
      </c>
      <c r="E25" s="75">
        <v>-186.413</v>
      </c>
      <c r="F25" s="75">
        <v>-106.309</v>
      </c>
      <c r="G25" s="58">
        <f t="shared" ref="G25:K25" si="3">G22+G23+G24</f>
        <v>-96.42971018</v>
      </c>
      <c r="H25" s="58">
        <f t="shared" si="3"/>
        <v>-102.3253328</v>
      </c>
      <c r="I25" s="58">
        <f t="shared" si="3"/>
        <v>-108.8586213</v>
      </c>
      <c r="J25" s="58">
        <f t="shared" si="3"/>
        <v>-114.8770191</v>
      </c>
      <c r="K25" s="58">
        <f t="shared" si="3"/>
        <v>-121.9128737</v>
      </c>
    </row>
    <row r="26" ht="15.75" customHeight="1"/>
    <row r="27" ht="15.75" customHeight="1">
      <c r="B27" s="20" t="s">
        <v>165</v>
      </c>
      <c r="C27" s="25">
        <v>1.622</v>
      </c>
      <c r="D27" s="25">
        <v>7.369</v>
      </c>
      <c r="E27" s="25">
        <v>-0.723</v>
      </c>
      <c r="F27" s="25">
        <v>3.01</v>
      </c>
      <c r="G27" s="50">
        <v>0.0</v>
      </c>
      <c r="H27" s="51">
        <v>0.0</v>
      </c>
      <c r="I27" s="51">
        <v>0.0</v>
      </c>
      <c r="J27" s="51">
        <v>0.0</v>
      </c>
      <c r="K27" s="52">
        <v>0.0</v>
      </c>
      <c r="L27" s="32" t="s">
        <v>123</v>
      </c>
    </row>
    <row r="28" ht="15.75" customHeight="1"/>
    <row r="29" ht="15.75" customHeight="1">
      <c r="B29" s="12" t="s">
        <v>167</v>
      </c>
      <c r="C29" s="43">
        <f t="shared" ref="C29:K29" si="4">C13+C19+C25+C27</f>
        <v>38.35</v>
      </c>
      <c r="D29" s="43">
        <f t="shared" si="4"/>
        <v>-84.101</v>
      </c>
      <c r="E29" s="43">
        <f t="shared" si="4"/>
        <v>53.617</v>
      </c>
      <c r="F29" s="43">
        <f t="shared" si="4"/>
        <v>-32.032</v>
      </c>
      <c r="G29" s="43">
        <f t="shared" si="4"/>
        <v>210.1475302</v>
      </c>
      <c r="H29" s="43">
        <f t="shared" si="4"/>
        <v>-22.10465983</v>
      </c>
      <c r="I29" s="43">
        <f t="shared" si="4"/>
        <v>0.905952575</v>
      </c>
      <c r="J29" s="43">
        <f t="shared" si="4"/>
        <v>28.17395627</v>
      </c>
      <c r="K29" s="43">
        <f t="shared" si="4"/>
        <v>49.95124583</v>
      </c>
    </row>
    <row r="30" ht="15.75" customHeight="1">
      <c r="B30" s="20" t="s">
        <v>175</v>
      </c>
      <c r="C30" s="25">
        <v>129.907</v>
      </c>
      <c r="D30" s="42">
        <f t="shared" ref="D30:K30" si="5">C31</f>
        <v>168.257</v>
      </c>
      <c r="E30" s="42">
        <f t="shared" si="5"/>
        <v>84.156</v>
      </c>
      <c r="F30" s="42">
        <f t="shared" si="5"/>
        <v>137.773</v>
      </c>
      <c r="G30" s="42">
        <f t="shared" si="5"/>
        <v>105.741</v>
      </c>
      <c r="H30" s="42">
        <f t="shared" si="5"/>
        <v>315.8885302</v>
      </c>
      <c r="I30" s="42">
        <f t="shared" si="5"/>
        <v>293.7838704</v>
      </c>
      <c r="J30" s="42">
        <f t="shared" si="5"/>
        <v>294.689823</v>
      </c>
      <c r="K30" s="42">
        <f t="shared" si="5"/>
        <v>322.8637792</v>
      </c>
    </row>
    <row r="31" ht="15.75" customHeight="1">
      <c r="B31" s="12" t="s">
        <v>179</v>
      </c>
      <c r="C31" s="73">
        <f t="shared" ref="C31:K31" si="6">C29+C30</f>
        <v>168.257</v>
      </c>
      <c r="D31" s="73">
        <f t="shared" si="6"/>
        <v>84.156</v>
      </c>
      <c r="E31" s="73">
        <f t="shared" si="6"/>
        <v>137.773</v>
      </c>
      <c r="F31" s="73">
        <f t="shared" si="6"/>
        <v>105.741</v>
      </c>
      <c r="G31" s="73">
        <f t="shared" si="6"/>
        <v>315.8885302</v>
      </c>
      <c r="H31" s="73">
        <f t="shared" si="6"/>
        <v>293.7838704</v>
      </c>
      <c r="I31" s="73">
        <f t="shared" si="6"/>
        <v>294.689823</v>
      </c>
      <c r="J31" s="73">
        <f t="shared" si="6"/>
        <v>322.8637792</v>
      </c>
      <c r="K31" s="73">
        <f t="shared" si="6"/>
        <v>372.8150251</v>
      </c>
    </row>
    <row r="32" ht="15.75" customHeight="1"/>
    <row r="33" ht="15.75" customHeight="1">
      <c r="B33" s="24" t="s">
        <v>183</v>
      </c>
    </row>
    <row r="34" ht="15.75" customHeight="1">
      <c r="B34" s="20" t="s">
        <v>184</v>
      </c>
      <c r="C34" s="42">
        <f t="shared" ref="C34:K34" si="7">C13</f>
        <v>-42.152</v>
      </c>
      <c r="D34" s="42">
        <f t="shared" si="7"/>
        <v>90.254</v>
      </c>
      <c r="E34" s="42">
        <f t="shared" si="7"/>
        <v>302.615</v>
      </c>
      <c r="F34" s="42">
        <f t="shared" si="7"/>
        <v>171.474</v>
      </c>
      <c r="G34" s="42">
        <f t="shared" si="7"/>
        <v>445.2702846</v>
      </c>
      <c r="H34" s="42">
        <f t="shared" si="7"/>
        <v>214.7714183</v>
      </c>
      <c r="I34" s="42">
        <f t="shared" si="7"/>
        <v>243.9987292</v>
      </c>
      <c r="J34" s="42">
        <f t="shared" si="7"/>
        <v>273.6041785</v>
      </c>
      <c r="K34" s="42">
        <f t="shared" si="7"/>
        <v>299.6513649</v>
      </c>
    </row>
    <row r="35" ht="15.75" customHeight="1">
      <c r="B35" s="20" t="s">
        <v>188</v>
      </c>
      <c r="C35" s="42">
        <f t="shared" ref="C35:K35" si="8">C16</f>
        <v>-42.692</v>
      </c>
      <c r="D35" s="42">
        <f t="shared" si="8"/>
        <v>-53.243</v>
      </c>
      <c r="E35" s="42">
        <f t="shared" si="8"/>
        <v>-62.119</v>
      </c>
      <c r="F35" s="42">
        <f t="shared" si="8"/>
        <v>-100.404</v>
      </c>
      <c r="G35" s="42">
        <f t="shared" si="8"/>
        <v>-83.21582655</v>
      </c>
      <c r="H35" s="42">
        <f t="shared" si="8"/>
        <v>-79.14749725</v>
      </c>
      <c r="I35" s="42">
        <f t="shared" si="8"/>
        <v>-79.70152973</v>
      </c>
      <c r="J35" s="42">
        <f t="shared" si="8"/>
        <v>-77.4468154</v>
      </c>
      <c r="K35" s="42">
        <f t="shared" si="8"/>
        <v>-76.67234725</v>
      </c>
    </row>
    <row r="36" ht="15.75" customHeight="1">
      <c r="B36" s="12" t="s">
        <v>195</v>
      </c>
      <c r="C36" s="88">
        <f t="shared" ref="C36:K36" si="9">C34+C35</f>
        <v>-84.844</v>
      </c>
      <c r="D36" s="90">
        <f t="shared" si="9"/>
        <v>37.011</v>
      </c>
      <c r="E36" s="90">
        <f t="shared" si="9"/>
        <v>240.496</v>
      </c>
      <c r="F36" s="90">
        <f t="shared" si="9"/>
        <v>71.07</v>
      </c>
      <c r="G36" s="90">
        <f t="shared" si="9"/>
        <v>362.0544581</v>
      </c>
      <c r="H36" s="90">
        <f t="shared" si="9"/>
        <v>135.6239211</v>
      </c>
      <c r="I36" s="90">
        <f t="shared" si="9"/>
        <v>164.2971995</v>
      </c>
      <c r="J36" s="90">
        <f t="shared" si="9"/>
        <v>196.1573631</v>
      </c>
      <c r="K36" s="92">
        <f t="shared" si="9"/>
        <v>222.9790176</v>
      </c>
      <c r="L36" s="32" t="s">
        <v>200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5:F5"/>
    <mergeCell ref="G5:K5"/>
  </mergeCells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8.0"/>
    <col customWidth="1" min="3" max="11" width="11.43"/>
    <col customWidth="1" min="12" max="12" width="15.0"/>
    <col customWidth="1" min="13" max="26" width="8.71"/>
  </cols>
  <sheetData>
    <row r="2">
      <c r="B2" s="33" t="s">
        <v>97</v>
      </c>
    </row>
    <row r="3">
      <c r="B3" s="16" t="s">
        <v>27</v>
      </c>
    </row>
    <row r="5">
      <c r="C5" s="17" t="s">
        <v>89</v>
      </c>
      <c r="D5" s="18"/>
      <c r="E5" s="18"/>
      <c r="F5" s="18"/>
      <c r="G5" s="17" t="s">
        <v>90</v>
      </c>
      <c r="H5" s="18"/>
      <c r="I5" s="18"/>
      <c r="J5" s="18"/>
      <c r="K5" s="18"/>
      <c r="L5" s="23" t="s">
        <v>99</v>
      </c>
    </row>
    <row r="6">
      <c r="C6" s="21" t="s">
        <v>50</v>
      </c>
      <c r="D6" s="21" t="s">
        <v>53</v>
      </c>
      <c r="E6" s="21" t="s">
        <v>56</v>
      </c>
      <c r="F6" s="21" t="s">
        <v>59</v>
      </c>
      <c r="G6" s="21" t="s">
        <v>61</v>
      </c>
      <c r="H6" s="21" t="s">
        <v>63</v>
      </c>
      <c r="I6" s="21" t="s">
        <v>67</v>
      </c>
      <c r="J6" s="21" t="s">
        <v>70</v>
      </c>
      <c r="K6" s="21" t="s">
        <v>72</v>
      </c>
    </row>
    <row r="7">
      <c r="B7" s="12" t="s">
        <v>102</v>
      </c>
      <c r="C7" s="44">
        <f>is!C8</f>
        <v>1418.437</v>
      </c>
      <c r="D7" s="44">
        <f>is!D8</f>
        <v>1478.554</v>
      </c>
      <c r="E7" s="44">
        <f>is!E8</f>
        <v>1529.993</v>
      </c>
      <c r="F7" s="44">
        <f>is!F8</f>
        <v>1696.551</v>
      </c>
      <c r="G7" s="44">
        <f>is!G8</f>
        <v>1849.24059</v>
      </c>
      <c r="H7" s="44">
        <f>is!H8</f>
        <v>1978.687431</v>
      </c>
      <c r="I7" s="44">
        <f>is!I8</f>
        <v>2097.408677</v>
      </c>
      <c r="J7" s="44">
        <f>is!J8</f>
        <v>2212.766154</v>
      </c>
      <c r="K7" s="44">
        <f>is!K8</f>
        <v>2323.404462</v>
      </c>
    </row>
    <row r="8">
      <c r="B8" s="20" t="s">
        <v>98</v>
      </c>
      <c r="C8" s="27">
        <f>is!C11</f>
        <v>932.5</v>
      </c>
      <c r="D8" s="27">
        <f>is!D11</f>
        <v>961.612</v>
      </c>
      <c r="E8" s="27">
        <f>is!E11</f>
        <v>973.055</v>
      </c>
      <c r="F8" s="27">
        <f>is!F11</f>
        <v>1076.074</v>
      </c>
      <c r="G8" s="27">
        <f>is!G11</f>
        <v>1192.760181</v>
      </c>
      <c r="H8" s="27">
        <f>is!H11</f>
        <v>1262.402581</v>
      </c>
      <c r="I8" s="27">
        <f>is!I11</f>
        <v>1321.367467</v>
      </c>
      <c r="J8" s="27">
        <f>is!J11</f>
        <v>1382.978847</v>
      </c>
      <c r="K8" s="27">
        <f>is!K11</f>
        <v>1440.510767</v>
      </c>
    </row>
    <row r="10">
      <c r="B10" s="24" t="s">
        <v>116</v>
      </c>
    </row>
    <row r="11">
      <c r="B11" s="38" t="s">
        <v>117</v>
      </c>
      <c r="C11" s="46">
        <v>365.0</v>
      </c>
      <c r="D11" s="46">
        <v>365.0</v>
      </c>
      <c r="E11" s="46">
        <v>365.0</v>
      </c>
      <c r="F11" s="46">
        <v>365.0</v>
      </c>
      <c r="G11" s="46">
        <v>365.0</v>
      </c>
      <c r="H11" s="46">
        <v>365.0</v>
      </c>
      <c r="I11" s="46">
        <v>365.0</v>
      </c>
      <c r="J11" s="46">
        <v>365.0</v>
      </c>
      <c r="K11" s="46">
        <v>365.0</v>
      </c>
    </row>
    <row r="12">
      <c r="B12" s="24" t="s">
        <v>119</v>
      </c>
    </row>
    <row r="13">
      <c r="B13" s="20" t="s">
        <v>83</v>
      </c>
      <c r="C13" s="27">
        <f>bs!C9</f>
        <v>182.166</v>
      </c>
      <c r="D13" s="27">
        <f>bs!D9</f>
        <v>253.216</v>
      </c>
      <c r="E13" s="27">
        <f>bs!E9</f>
        <v>255.81</v>
      </c>
      <c r="F13" s="27">
        <f>bs!F9</f>
        <v>285.083</v>
      </c>
      <c r="G13" s="42">
        <f t="shared" ref="G13:K13" si="1">G29*G7/G11</f>
        <v>303.9847545</v>
      </c>
      <c r="H13" s="42">
        <f t="shared" si="1"/>
        <v>325.2636873</v>
      </c>
      <c r="I13" s="42">
        <f t="shared" si="1"/>
        <v>344.7795086</v>
      </c>
      <c r="J13" s="42">
        <f t="shared" si="1"/>
        <v>363.7423815</v>
      </c>
      <c r="K13" s="42">
        <f t="shared" si="1"/>
        <v>381.9295006</v>
      </c>
    </row>
    <row r="14">
      <c r="B14" s="38" t="s">
        <v>127</v>
      </c>
      <c r="C14" s="60">
        <f t="shared" ref="C14:K14" si="2">C13/C7*C11</f>
        <v>46.87595572</v>
      </c>
      <c r="D14" s="60">
        <f t="shared" si="2"/>
        <v>62.50961412</v>
      </c>
      <c r="E14" s="60">
        <f t="shared" si="2"/>
        <v>61.02684784</v>
      </c>
      <c r="F14" s="60">
        <f t="shared" si="2"/>
        <v>61.33343177</v>
      </c>
      <c r="G14" s="60">
        <f t="shared" si="2"/>
        <v>60</v>
      </c>
      <c r="H14" s="60">
        <f t="shared" si="2"/>
        <v>60</v>
      </c>
      <c r="I14" s="60">
        <f t="shared" si="2"/>
        <v>60</v>
      </c>
      <c r="J14" s="60">
        <f t="shared" si="2"/>
        <v>60</v>
      </c>
      <c r="K14" s="60">
        <f t="shared" si="2"/>
        <v>60</v>
      </c>
    </row>
    <row r="15">
      <c r="B15" s="20" t="s">
        <v>111</v>
      </c>
      <c r="C15" s="27">
        <f>bs!C16</f>
        <v>445.884</v>
      </c>
      <c r="D15" s="27">
        <f>bs!D16</f>
        <v>439.633</v>
      </c>
      <c r="E15" s="27">
        <f>bs!E16</f>
        <v>332.79</v>
      </c>
      <c r="F15" s="27">
        <f>bs!F16</f>
        <v>426.309</v>
      </c>
      <c r="G15" s="67">
        <f t="shared" ref="G15:K15" si="3">G30*(-G8)/G11</f>
        <v>-473.8362361</v>
      </c>
      <c r="H15" s="68">
        <f t="shared" si="3"/>
        <v>-484.2092092</v>
      </c>
      <c r="I15" s="68">
        <f t="shared" si="3"/>
        <v>-488.7249534</v>
      </c>
      <c r="J15" s="68">
        <f t="shared" si="3"/>
        <v>-492.5678083</v>
      </c>
      <c r="K15" s="71">
        <f t="shared" si="3"/>
        <v>-493.325605</v>
      </c>
      <c r="L15" s="32" t="s">
        <v>142</v>
      </c>
    </row>
    <row r="16">
      <c r="B16" s="38" t="s">
        <v>144</v>
      </c>
      <c r="C16" s="60">
        <f t="shared" ref="C16:K16" si="4">C15/(-C8)*C11</f>
        <v>-174.5283217</v>
      </c>
      <c r="D16" s="60">
        <f t="shared" si="4"/>
        <v>-166.8719244</v>
      </c>
      <c r="E16" s="60">
        <f t="shared" si="4"/>
        <v>-124.8319468</v>
      </c>
      <c r="F16" s="60">
        <f t="shared" si="4"/>
        <v>-144.6023089</v>
      </c>
      <c r="G16" s="60">
        <f t="shared" si="4"/>
        <v>145</v>
      </c>
      <c r="H16" s="60">
        <f t="shared" si="4"/>
        <v>140</v>
      </c>
      <c r="I16" s="60">
        <f t="shared" si="4"/>
        <v>135</v>
      </c>
      <c r="J16" s="60">
        <f t="shared" si="4"/>
        <v>130</v>
      </c>
      <c r="K16" s="60">
        <f t="shared" si="4"/>
        <v>125</v>
      </c>
    </row>
    <row r="17">
      <c r="B17" s="20" t="s">
        <v>149</v>
      </c>
      <c r="C17" s="27">
        <f>bs!C40</f>
        <v>292.272</v>
      </c>
      <c r="D17" s="27">
        <f>bs!D40</f>
        <v>261.336</v>
      </c>
      <c r="E17" s="27">
        <f>bs!E40</f>
        <v>273.269</v>
      </c>
      <c r="F17" s="27">
        <f>bs!F40</f>
        <v>309.918</v>
      </c>
      <c r="G17" s="67">
        <f t="shared" ref="G17:K17" si="5">G31*(-G8)/G11</f>
        <v>-333.3192833</v>
      </c>
      <c r="H17" s="68">
        <f t="shared" si="5"/>
        <v>-345.8637209</v>
      </c>
      <c r="I17" s="68">
        <f t="shared" si="5"/>
        <v>-354.7781143</v>
      </c>
      <c r="J17" s="68">
        <f t="shared" si="5"/>
        <v>-359.9533984</v>
      </c>
      <c r="K17" s="71">
        <f t="shared" si="5"/>
        <v>-363.0876453</v>
      </c>
      <c r="L17" s="32" t="s">
        <v>142</v>
      </c>
    </row>
    <row r="18">
      <c r="B18" s="38" t="s">
        <v>155</v>
      </c>
      <c r="C18" s="60">
        <f t="shared" ref="C18:K18" si="6">C17/(-C8)*C11</f>
        <v>-114.4013727</v>
      </c>
      <c r="D18" s="60">
        <f t="shared" si="6"/>
        <v>-99.19555912</v>
      </c>
      <c r="E18" s="60">
        <f t="shared" si="6"/>
        <v>-102.5051873</v>
      </c>
      <c r="F18" s="60">
        <f t="shared" si="6"/>
        <v>-105.1229469</v>
      </c>
      <c r="G18" s="60">
        <f t="shared" si="6"/>
        <v>102</v>
      </c>
      <c r="H18" s="60">
        <f t="shared" si="6"/>
        <v>100</v>
      </c>
      <c r="I18" s="60">
        <f t="shared" si="6"/>
        <v>98</v>
      </c>
      <c r="J18" s="60">
        <f t="shared" si="6"/>
        <v>95</v>
      </c>
      <c r="K18" s="60">
        <f t="shared" si="6"/>
        <v>92</v>
      </c>
    </row>
    <row r="20">
      <c r="B20" s="12" t="s">
        <v>162</v>
      </c>
      <c r="C20" s="61">
        <f t="shared" ref="C20:K20" si="7">C14+C16-C18</f>
        <v>-13.25099334</v>
      </c>
      <c r="D20" s="61">
        <f t="shared" si="7"/>
        <v>-5.166751189</v>
      </c>
      <c r="E20" s="61">
        <f t="shared" si="7"/>
        <v>38.7000883</v>
      </c>
      <c r="F20" s="61">
        <f t="shared" si="7"/>
        <v>21.85406975</v>
      </c>
      <c r="G20" s="61">
        <f t="shared" si="7"/>
        <v>103</v>
      </c>
      <c r="H20" s="61">
        <f t="shared" si="7"/>
        <v>100</v>
      </c>
      <c r="I20" s="61">
        <f t="shared" si="7"/>
        <v>97</v>
      </c>
      <c r="J20" s="61">
        <f t="shared" si="7"/>
        <v>95</v>
      </c>
      <c r="K20" s="61">
        <f t="shared" si="7"/>
        <v>93</v>
      </c>
    </row>
    <row r="21" ht="15.75" customHeight="1"/>
    <row r="22" ht="15.75" customHeight="1">
      <c r="B22" s="24" t="s">
        <v>171</v>
      </c>
    </row>
    <row r="23" ht="15.75" customHeight="1">
      <c r="B23" s="20" t="s">
        <v>172</v>
      </c>
      <c r="D23" s="42">
        <f t="shared" ref="D23:K23" si="8">C13-D13</f>
        <v>-71.05</v>
      </c>
      <c r="E23" s="42">
        <f t="shared" si="8"/>
        <v>-2.594</v>
      </c>
      <c r="F23" s="42">
        <f t="shared" si="8"/>
        <v>-29.273</v>
      </c>
      <c r="G23" s="42">
        <f t="shared" si="8"/>
        <v>-18.90175452</v>
      </c>
      <c r="H23" s="42">
        <f t="shared" si="8"/>
        <v>-21.27893282</v>
      </c>
      <c r="I23" s="42">
        <f t="shared" si="8"/>
        <v>-19.51582124</v>
      </c>
      <c r="J23" s="42">
        <f t="shared" si="8"/>
        <v>-18.96287297</v>
      </c>
      <c r="K23" s="42">
        <f t="shared" si="8"/>
        <v>-18.18711908</v>
      </c>
    </row>
    <row r="24" ht="15.75" customHeight="1">
      <c r="B24" s="20" t="s">
        <v>177</v>
      </c>
      <c r="D24" s="42">
        <f t="shared" ref="D24:K24" si="9">C15-D15</f>
        <v>6.251</v>
      </c>
      <c r="E24" s="42">
        <f t="shared" si="9"/>
        <v>106.843</v>
      </c>
      <c r="F24" s="42">
        <f t="shared" si="9"/>
        <v>-93.519</v>
      </c>
      <c r="G24" s="42">
        <f t="shared" si="9"/>
        <v>900.1452361</v>
      </c>
      <c r="H24" s="42">
        <f t="shared" si="9"/>
        <v>10.37297311</v>
      </c>
      <c r="I24" s="42">
        <f t="shared" si="9"/>
        <v>4.515744193</v>
      </c>
      <c r="J24" s="42">
        <f t="shared" si="9"/>
        <v>3.842854939</v>
      </c>
      <c r="K24" s="42">
        <f t="shared" si="9"/>
        <v>0.7577966282</v>
      </c>
    </row>
    <row r="25" ht="15.75" customHeight="1">
      <c r="B25" s="20" t="s">
        <v>182</v>
      </c>
      <c r="D25" s="42">
        <f t="shared" ref="D25:K25" si="10">D17-C17</f>
        <v>-30.936</v>
      </c>
      <c r="E25" s="42">
        <f t="shared" si="10"/>
        <v>11.933</v>
      </c>
      <c r="F25" s="42">
        <f t="shared" si="10"/>
        <v>36.649</v>
      </c>
      <c r="G25" s="42">
        <f t="shared" si="10"/>
        <v>-643.2372833</v>
      </c>
      <c r="H25" s="42">
        <f t="shared" si="10"/>
        <v>-12.54443754</v>
      </c>
      <c r="I25" s="42">
        <f t="shared" si="10"/>
        <v>-8.914393458</v>
      </c>
      <c r="J25" s="42">
        <f t="shared" si="10"/>
        <v>-5.175284082</v>
      </c>
      <c r="K25" s="42">
        <f t="shared" si="10"/>
        <v>-3.134246854</v>
      </c>
    </row>
    <row r="26" ht="15.75" customHeight="1">
      <c r="B26" s="12" t="s">
        <v>186</v>
      </c>
      <c r="D26" s="61">
        <f t="shared" ref="D26:K26" si="11">D23+D24+D25</f>
        <v>-95.735</v>
      </c>
      <c r="E26" s="61">
        <f t="shared" si="11"/>
        <v>116.182</v>
      </c>
      <c r="F26" s="61">
        <f t="shared" si="11"/>
        <v>-86.143</v>
      </c>
      <c r="G26" s="61">
        <f t="shared" si="11"/>
        <v>238.0061983</v>
      </c>
      <c r="H26" s="61">
        <f t="shared" si="11"/>
        <v>-23.45039725</v>
      </c>
      <c r="I26" s="61">
        <f t="shared" si="11"/>
        <v>-23.91447051</v>
      </c>
      <c r="J26" s="61">
        <f t="shared" si="11"/>
        <v>-20.29530211</v>
      </c>
      <c r="K26" s="61">
        <f t="shared" si="11"/>
        <v>-20.5635693</v>
      </c>
    </row>
    <row r="27" ht="15.75" customHeight="1"/>
    <row r="28" ht="15.75" customHeight="1">
      <c r="B28" s="24" t="s">
        <v>190</v>
      </c>
    </row>
    <row r="29" ht="15.75" customHeight="1">
      <c r="B29" s="20" t="s">
        <v>191</v>
      </c>
      <c r="D29" s="83"/>
      <c r="E29" s="84" t="s">
        <v>194</v>
      </c>
      <c r="F29" s="85"/>
      <c r="G29" s="46">
        <v>60.0</v>
      </c>
      <c r="H29" s="86">
        <v>60.0</v>
      </c>
      <c r="I29" s="87">
        <v>60.0</v>
      </c>
      <c r="J29" s="87">
        <v>60.0</v>
      </c>
      <c r="K29" s="89">
        <v>60.0</v>
      </c>
      <c r="L29" s="91">
        <v>0.0</v>
      </c>
      <c r="M29" s="32" t="s">
        <v>196</v>
      </c>
    </row>
    <row r="30" ht="15.75" customHeight="1">
      <c r="B30" s="20" t="s">
        <v>197</v>
      </c>
      <c r="D30" s="83"/>
      <c r="E30" s="84" t="s">
        <v>194</v>
      </c>
      <c r="F30" s="85"/>
      <c r="G30" s="46">
        <v>145.0</v>
      </c>
      <c r="H30" s="86">
        <v>140.0</v>
      </c>
      <c r="I30" s="87">
        <v>135.0</v>
      </c>
      <c r="J30" s="87">
        <v>130.0</v>
      </c>
      <c r="K30" s="89">
        <v>125.0</v>
      </c>
      <c r="L30" s="91">
        <v>-5.0</v>
      </c>
      <c r="M30" s="32" t="s">
        <v>196</v>
      </c>
    </row>
    <row r="31" ht="15.75" customHeight="1">
      <c r="B31" s="20" t="s">
        <v>199</v>
      </c>
      <c r="D31" s="93"/>
      <c r="E31" s="84" t="s">
        <v>194</v>
      </c>
      <c r="F31" s="94"/>
      <c r="G31" s="46">
        <v>102.0</v>
      </c>
      <c r="H31" s="95">
        <v>100.0</v>
      </c>
      <c r="I31" s="96">
        <v>98.0</v>
      </c>
      <c r="J31" s="96">
        <v>95.0</v>
      </c>
      <c r="K31" s="97">
        <v>92.0</v>
      </c>
      <c r="L31" s="98">
        <v>-2.0</v>
      </c>
      <c r="M31" s="32" t="s">
        <v>196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5:F5"/>
    <mergeCell ref="G5:K5"/>
  </mergeCells>
  <printOptions/>
  <pageMargins bottom="1.0" footer="0.0" header="0.0" left="0.75" right="0.75" top="1.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8.0"/>
    <col customWidth="1" min="3" max="11" width="11.43"/>
    <col customWidth="1" min="12" max="26" width="8.71"/>
  </cols>
  <sheetData>
    <row r="2">
      <c r="B2" s="33" t="s">
        <v>239</v>
      </c>
    </row>
    <row r="3">
      <c r="B3" s="16" t="s">
        <v>27</v>
      </c>
    </row>
    <row r="5">
      <c r="C5" s="17" t="s">
        <v>89</v>
      </c>
      <c r="D5" s="18"/>
      <c r="E5" s="18"/>
      <c r="F5" s="18"/>
      <c r="G5" s="17" t="s">
        <v>90</v>
      </c>
      <c r="H5" s="18"/>
      <c r="I5" s="18"/>
      <c r="J5" s="18"/>
      <c r="K5" s="18"/>
    </row>
    <row r="6">
      <c r="C6" s="21" t="s">
        <v>50</v>
      </c>
      <c r="D6" s="21" t="s">
        <v>53</v>
      </c>
      <c r="E6" s="21" t="s">
        <v>56</v>
      </c>
      <c r="F6" s="21" t="s">
        <v>59</v>
      </c>
      <c r="G6" s="21" t="s">
        <v>61</v>
      </c>
      <c r="H6" s="21" t="s">
        <v>63</v>
      </c>
      <c r="I6" s="21" t="s">
        <v>67</v>
      </c>
      <c r="J6" s="21" t="s">
        <v>70</v>
      </c>
      <c r="K6" s="21" t="s">
        <v>72</v>
      </c>
    </row>
    <row r="7">
      <c r="B7" s="24" t="s">
        <v>245</v>
      </c>
    </row>
    <row r="8">
      <c r="B8" s="20" t="s">
        <v>246</v>
      </c>
      <c r="D8" s="42">
        <f t="shared" ref="D8:K8" si="1">C11</f>
        <v>78.133</v>
      </c>
      <c r="E8" s="42">
        <f t="shared" si="1"/>
        <v>123.734</v>
      </c>
      <c r="F8" s="42">
        <f t="shared" si="1"/>
        <v>128.289</v>
      </c>
      <c r="G8" s="42">
        <f t="shared" si="1"/>
        <v>147.754</v>
      </c>
      <c r="H8" s="42">
        <f t="shared" si="1"/>
        <v>207.2995874</v>
      </c>
      <c r="I8" s="42">
        <f t="shared" si="1"/>
        <v>255.5879176</v>
      </c>
      <c r="J8" s="42">
        <f t="shared" si="1"/>
        <v>298.3596121</v>
      </c>
      <c r="K8" s="42">
        <f t="shared" si="1"/>
        <v>333.67105</v>
      </c>
    </row>
    <row r="9">
      <c r="B9" s="20" t="s">
        <v>132</v>
      </c>
      <c r="C9" s="25">
        <v>42.692</v>
      </c>
      <c r="D9" s="25">
        <v>53.243</v>
      </c>
      <c r="E9" s="25">
        <v>62.119</v>
      </c>
      <c r="F9" s="25">
        <v>100.404</v>
      </c>
      <c r="G9" s="42">
        <f t="shared" ref="G9:K9" si="2">G13*G16</f>
        <v>83.21582655</v>
      </c>
      <c r="H9" s="42">
        <f t="shared" si="2"/>
        <v>79.14749725</v>
      </c>
      <c r="I9" s="42">
        <f t="shared" si="2"/>
        <v>79.70152973</v>
      </c>
      <c r="J9" s="42">
        <f t="shared" si="2"/>
        <v>77.4468154</v>
      </c>
      <c r="K9" s="42">
        <f t="shared" si="2"/>
        <v>76.67234725</v>
      </c>
    </row>
    <row r="10">
      <c r="B10" s="20" t="s">
        <v>250</v>
      </c>
      <c r="C10" s="25">
        <v>-17.702</v>
      </c>
      <c r="D10" s="25">
        <v>-28.862</v>
      </c>
      <c r="E10" s="25">
        <v>-36.644</v>
      </c>
      <c r="F10" s="25">
        <v>-39.507</v>
      </c>
      <c r="G10" s="67">
        <f t="shared" ref="G10:K10" si="3">-(G8+G9/2)/G18</f>
        <v>-23.67023916</v>
      </c>
      <c r="H10" s="68">
        <f t="shared" si="3"/>
        <v>-30.859167</v>
      </c>
      <c r="I10" s="68">
        <f t="shared" si="3"/>
        <v>-36.92983531</v>
      </c>
      <c r="J10" s="68">
        <f t="shared" si="3"/>
        <v>-42.13537747</v>
      </c>
      <c r="K10" s="71">
        <f t="shared" si="3"/>
        <v>-46.50090295</v>
      </c>
      <c r="L10" s="32" t="s">
        <v>252</v>
      </c>
    </row>
    <row r="11">
      <c r="B11" s="12" t="s">
        <v>255</v>
      </c>
      <c r="C11" s="53">
        <v>78.133</v>
      </c>
      <c r="D11" s="54">
        <v>123.734</v>
      </c>
      <c r="E11" s="54">
        <v>128.289</v>
      </c>
      <c r="F11" s="55">
        <v>147.754</v>
      </c>
      <c r="G11" s="58">
        <f t="shared" ref="G11:K11" si="4">G8+G9+G10</f>
        <v>207.2995874</v>
      </c>
      <c r="H11" s="58">
        <f t="shared" si="4"/>
        <v>255.5879176</v>
      </c>
      <c r="I11" s="58">
        <f t="shared" si="4"/>
        <v>298.3596121</v>
      </c>
      <c r="J11" s="58">
        <f t="shared" si="4"/>
        <v>333.67105</v>
      </c>
      <c r="K11" s="58">
        <f t="shared" si="4"/>
        <v>363.8424943</v>
      </c>
      <c r="L11" s="32" t="s">
        <v>130</v>
      </c>
    </row>
    <row r="13">
      <c r="B13" s="38" t="s">
        <v>254</v>
      </c>
      <c r="C13" s="124">
        <f>is!C8</f>
        <v>1418.437</v>
      </c>
      <c r="D13" s="124">
        <f>is!D8</f>
        <v>1478.554</v>
      </c>
      <c r="E13" s="124">
        <f>is!E8</f>
        <v>1529.993</v>
      </c>
      <c r="F13" s="124">
        <f>is!F8</f>
        <v>1696.551</v>
      </c>
      <c r="G13" s="124">
        <f>is!G8</f>
        <v>1849.24059</v>
      </c>
      <c r="H13" s="124">
        <f>is!H8</f>
        <v>1978.687431</v>
      </c>
      <c r="I13" s="124">
        <f>is!I8</f>
        <v>2097.408677</v>
      </c>
      <c r="J13" s="124">
        <f>is!J8</f>
        <v>2212.766154</v>
      </c>
      <c r="K13" s="124">
        <f>is!K8</f>
        <v>2323.404462</v>
      </c>
    </row>
    <row r="14">
      <c r="B14" s="20" t="s">
        <v>143</v>
      </c>
      <c r="C14" s="25">
        <v>141.713</v>
      </c>
      <c r="D14" s="25">
        <v>190.957</v>
      </c>
      <c r="E14" s="25">
        <v>209.605</v>
      </c>
      <c r="F14" s="25">
        <v>246.908</v>
      </c>
      <c r="G14" s="42">
        <f t="shared" ref="G14:K14" si="5">F14+G9</f>
        <v>330.1238266</v>
      </c>
      <c r="H14" s="42">
        <f t="shared" si="5"/>
        <v>409.2713238</v>
      </c>
      <c r="I14" s="42">
        <f t="shared" si="5"/>
        <v>488.9728535</v>
      </c>
      <c r="J14" s="42">
        <f t="shared" si="5"/>
        <v>566.4196689</v>
      </c>
      <c r="K14" s="42">
        <f t="shared" si="5"/>
        <v>643.0920162</v>
      </c>
    </row>
    <row r="15">
      <c r="B15" s="20" t="s">
        <v>148</v>
      </c>
      <c r="C15" s="25">
        <v>-63.58</v>
      </c>
      <c r="D15" s="25">
        <v>-67.223</v>
      </c>
      <c r="E15" s="25">
        <v>-81.316</v>
      </c>
      <c r="F15" s="25">
        <v>-99.154</v>
      </c>
      <c r="G15" s="42">
        <f t="shared" ref="G15:K15" si="6">F15+G10</f>
        <v>-122.8242392</v>
      </c>
      <c r="H15" s="42">
        <f t="shared" si="6"/>
        <v>-153.6834062</v>
      </c>
      <c r="I15" s="42">
        <f t="shared" si="6"/>
        <v>-190.6132415</v>
      </c>
      <c r="J15" s="42">
        <f t="shared" si="6"/>
        <v>-232.7486189</v>
      </c>
      <c r="K15" s="42">
        <f t="shared" si="6"/>
        <v>-279.2495219</v>
      </c>
    </row>
    <row r="16">
      <c r="B16" s="20" t="s">
        <v>268</v>
      </c>
      <c r="C16" s="126">
        <f t="shared" ref="C16:F16" si="7">C9/C13</f>
        <v>0.03009791764</v>
      </c>
      <c r="D16" s="126">
        <f t="shared" si="7"/>
        <v>0.03601018292</v>
      </c>
      <c r="E16" s="126">
        <f t="shared" si="7"/>
        <v>0.04060083935</v>
      </c>
      <c r="F16" s="126">
        <f t="shared" si="7"/>
        <v>0.05918124477</v>
      </c>
      <c r="G16" s="114">
        <v>0.045</v>
      </c>
      <c r="H16" s="115">
        <v>0.04</v>
      </c>
      <c r="I16" s="115">
        <v>0.038</v>
      </c>
      <c r="J16" s="115">
        <v>0.035</v>
      </c>
      <c r="K16" s="116">
        <v>0.033</v>
      </c>
      <c r="L16" s="32" t="s">
        <v>270</v>
      </c>
    </row>
    <row r="17">
      <c r="B17" s="38" t="s">
        <v>271</v>
      </c>
      <c r="C17" s="60">
        <f t="shared" ref="C17:K17" si="8">-C10</f>
        <v>17.702</v>
      </c>
      <c r="D17" s="60">
        <f t="shared" si="8"/>
        <v>28.862</v>
      </c>
      <c r="E17" s="60">
        <f t="shared" si="8"/>
        <v>36.644</v>
      </c>
      <c r="F17" s="60">
        <f t="shared" si="8"/>
        <v>39.507</v>
      </c>
      <c r="G17" s="60">
        <f t="shared" si="8"/>
        <v>23.67023916</v>
      </c>
      <c r="H17" s="60">
        <f t="shared" si="8"/>
        <v>30.859167</v>
      </c>
      <c r="I17" s="60">
        <f t="shared" si="8"/>
        <v>36.92983531</v>
      </c>
      <c r="J17" s="60">
        <f t="shared" si="8"/>
        <v>42.13537747</v>
      </c>
      <c r="K17" s="60">
        <f t="shared" si="8"/>
        <v>46.50090295</v>
      </c>
    </row>
    <row r="18">
      <c r="B18" s="20" t="s">
        <v>264</v>
      </c>
      <c r="G18" s="127">
        <v>8.0</v>
      </c>
      <c r="H18" s="128">
        <v>8.0</v>
      </c>
      <c r="I18" s="128">
        <v>8.0</v>
      </c>
      <c r="J18" s="128">
        <v>8.0</v>
      </c>
      <c r="K18" s="129">
        <v>8.0</v>
      </c>
      <c r="L18" s="32" t="s">
        <v>265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5:F5"/>
    <mergeCell ref="G5:K5"/>
  </mergeCells>
  <printOptions/>
  <pageMargins bottom="1.0" footer="0.0" header="0.0" left="0.75" right="0.75" top="1.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8.0"/>
    <col customWidth="1" min="3" max="11" width="11.43"/>
    <col customWidth="1" min="12" max="26" width="8.71"/>
  </cols>
  <sheetData>
    <row r="2">
      <c r="B2" s="33" t="s">
        <v>238</v>
      </c>
    </row>
    <row r="3">
      <c r="B3" s="16" t="s">
        <v>27</v>
      </c>
    </row>
    <row r="5">
      <c r="C5" s="17" t="s">
        <v>89</v>
      </c>
      <c r="D5" s="18"/>
      <c r="E5" s="18"/>
      <c r="F5" s="18"/>
      <c r="G5" s="17" t="s">
        <v>90</v>
      </c>
      <c r="H5" s="18"/>
      <c r="I5" s="18"/>
      <c r="J5" s="18"/>
      <c r="K5" s="18"/>
    </row>
    <row r="6">
      <c r="C6" s="21" t="s">
        <v>50</v>
      </c>
      <c r="D6" s="21" t="s">
        <v>53</v>
      </c>
      <c r="E6" s="21" t="s">
        <v>56</v>
      </c>
      <c r="F6" s="21" t="s">
        <v>59</v>
      </c>
      <c r="G6" s="21" t="s">
        <v>61</v>
      </c>
      <c r="H6" s="21" t="s">
        <v>63</v>
      </c>
      <c r="I6" s="21" t="s">
        <v>67</v>
      </c>
      <c r="J6" s="21" t="s">
        <v>70</v>
      </c>
      <c r="K6" s="21" t="s">
        <v>72</v>
      </c>
    </row>
    <row r="7">
      <c r="B7" s="24" t="s">
        <v>243</v>
      </c>
    </row>
    <row r="8">
      <c r="B8" s="20" t="s">
        <v>244</v>
      </c>
      <c r="D8" s="42">
        <f t="shared" ref="D8:K8" si="1">C11</f>
        <v>56.645</v>
      </c>
      <c r="E8" s="42">
        <f t="shared" si="1"/>
        <v>73.08</v>
      </c>
      <c r="F8" s="42">
        <f t="shared" si="1"/>
        <v>86.613</v>
      </c>
      <c r="G8" s="42">
        <f t="shared" si="1"/>
        <v>102.798</v>
      </c>
      <c r="H8" s="42">
        <f t="shared" si="1"/>
        <v>132.1678959</v>
      </c>
      <c r="I8" s="42">
        <f t="shared" si="1"/>
        <v>155.59724</v>
      </c>
      <c r="J8" s="42">
        <f t="shared" si="1"/>
        <v>173.5571551</v>
      </c>
      <c r="K8" s="42">
        <f t="shared" si="1"/>
        <v>186.641473</v>
      </c>
    </row>
    <row r="9">
      <c r="B9" s="20" t="s">
        <v>248</v>
      </c>
      <c r="C9" s="25">
        <v>26.142</v>
      </c>
      <c r="D9" s="25">
        <v>32.764</v>
      </c>
      <c r="E9" s="25">
        <v>37.194</v>
      </c>
      <c r="F9" s="25">
        <v>55.728</v>
      </c>
      <c r="G9" s="42">
        <f t="shared" ref="G9:K9" si="2">G13*G15</f>
        <v>55.4772177</v>
      </c>
      <c r="H9" s="42">
        <f t="shared" si="2"/>
        <v>55.40324808</v>
      </c>
      <c r="I9" s="42">
        <f t="shared" si="2"/>
        <v>54.53262561</v>
      </c>
      <c r="J9" s="42">
        <f t="shared" si="2"/>
        <v>53.10638771</v>
      </c>
      <c r="K9" s="42">
        <f t="shared" si="2"/>
        <v>51.11489817</v>
      </c>
    </row>
    <row r="10">
      <c r="B10" s="20" t="s">
        <v>249</v>
      </c>
      <c r="C10" s="25">
        <v>-12.762</v>
      </c>
      <c r="D10" s="25">
        <v>-17.28</v>
      </c>
      <c r="E10" s="25">
        <v>-23.141</v>
      </c>
      <c r="F10" s="25">
        <v>-27.821</v>
      </c>
      <c r="G10" s="67">
        <f t="shared" ref="G10:K10" si="3">-(G8+G9/2)/G16</f>
        <v>-26.10732177</v>
      </c>
      <c r="H10" s="68">
        <f t="shared" si="3"/>
        <v>-31.97390399</v>
      </c>
      <c r="I10" s="68">
        <f t="shared" si="3"/>
        <v>-36.57271056</v>
      </c>
      <c r="J10" s="68">
        <f t="shared" si="3"/>
        <v>-40.02206978</v>
      </c>
      <c r="K10" s="71">
        <f t="shared" si="3"/>
        <v>-42.43978441</v>
      </c>
      <c r="L10" s="32" t="s">
        <v>252</v>
      </c>
    </row>
    <row r="11">
      <c r="B11" s="12" t="s">
        <v>253</v>
      </c>
      <c r="C11" s="53">
        <v>56.645</v>
      </c>
      <c r="D11" s="54">
        <v>73.08</v>
      </c>
      <c r="E11" s="54">
        <v>86.613</v>
      </c>
      <c r="F11" s="55">
        <v>102.798</v>
      </c>
      <c r="G11" s="58">
        <f t="shared" ref="G11:K11" si="4">G8+G9+G10</f>
        <v>132.1678959</v>
      </c>
      <c r="H11" s="58">
        <f t="shared" si="4"/>
        <v>155.59724</v>
      </c>
      <c r="I11" s="58">
        <f t="shared" si="4"/>
        <v>173.5571551</v>
      </c>
      <c r="J11" s="58">
        <f t="shared" si="4"/>
        <v>186.641473</v>
      </c>
      <c r="K11" s="58">
        <f t="shared" si="4"/>
        <v>195.3165867</v>
      </c>
      <c r="L11" s="32" t="s">
        <v>130</v>
      </c>
    </row>
    <row r="13">
      <c r="B13" s="38" t="s">
        <v>254</v>
      </c>
      <c r="C13" s="124">
        <f>is!C8</f>
        <v>1418.437</v>
      </c>
      <c r="D13" s="124">
        <f>is!D8</f>
        <v>1478.554</v>
      </c>
      <c r="E13" s="124">
        <f>is!E8</f>
        <v>1529.993</v>
      </c>
      <c r="F13" s="124">
        <f>is!F8</f>
        <v>1696.551</v>
      </c>
      <c r="G13" s="124">
        <f>is!G8</f>
        <v>1849.24059</v>
      </c>
      <c r="H13" s="124">
        <f>is!H8</f>
        <v>1978.687431</v>
      </c>
      <c r="I13" s="124">
        <f>is!I8</f>
        <v>2097.408677</v>
      </c>
      <c r="J13" s="124">
        <f>is!J8</f>
        <v>2212.766154</v>
      </c>
      <c r="K13" s="124">
        <f>is!K8</f>
        <v>2323.404462</v>
      </c>
    </row>
    <row r="14">
      <c r="B14" s="38" t="s">
        <v>259</v>
      </c>
      <c r="C14" s="60">
        <f t="shared" ref="C14:K14" si="5">C11</f>
        <v>56.645</v>
      </c>
      <c r="D14" s="60">
        <f t="shared" si="5"/>
        <v>73.08</v>
      </c>
      <c r="E14" s="60">
        <f t="shared" si="5"/>
        <v>86.613</v>
      </c>
      <c r="F14" s="60">
        <f t="shared" si="5"/>
        <v>102.798</v>
      </c>
      <c r="G14" s="60">
        <f t="shared" si="5"/>
        <v>132.1678959</v>
      </c>
      <c r="H14" s="60">
        <f t="shared" si="5"/>
        <v>155.59724</v>
      </c>
      <c r="I14" s="60">
        <f t="shared" si="5"/>
        <v>173.5571551</v>
      </c>
      <c r="J14" s="60">
        <f t="shared" si="5"/>
        <v>186.641473</v>
      </c>
      <c r="K14" s="60">
        <f t="shared" si="5"/>
        <v>195.3165867</v>
      </c>
    </row>
    <row r="15">
      <c r="B15" s="20" t="s">
        <v>261</v>
      </c>
      <c r="C15" s="126">
        <f t="shared" ref="C15:F15" si="6">C9/C13</f>
        <v>0.01843014529</v>
      </c>
      <c r="D15" s="126">
        <f t="shared" si="6"/>
        <v>0.02215948826</v>
      </c>
      <c r="E15" s="126">
        <f t="shared" si="6"/>
        <v>0.02430991514</v>
      </c>
      <c r="F15" s="126">
        <f t="shared" si="6"/>
        <v>0.0328478189</v>
      </c>
      <c r="G15" s="114">
        <v>0.03</v>
      </c>
      <c r="H15" s="115">
        <v>0.028</v>
      </c>
      <c r="I15" s="115">
        <v>0.026</v>
      </c>
      <c r="J15" s="115">
        <v>0.024</v>
      </c>
      <c r="K15" s="116">
        <v>0.022</v>
      </c>
      <c r="L15" s="32" t="s">
        <v>263</v>
      </c>
    </row>
    <row r="16">
      <c r="B16" s="20" t="s">
        <v>264</v>
      </c>
      <c r="G16" s="127">
        <v>5.0</v>
      </c>
      <c r="H16" s="128">
        <v>5.0</v>
      </c>
      <c r="I16" s="128">
        <v>5.0</v>
      </c>
      <c r="J16" s="128">
        <v>5.0</v>
      </c>
      <c r="K16" s="129">
        <v>5.0</v>
      </c>
      <c r="L16" s="32" t="s">
        <v>265</v>
      </c>
    </row>
    <row r="17">
      <c r="B17" s="38" t="s">
        <v>266</v>
      </c>
      <c r="C17" s="60">
        <f t="shared" ref="C17:K17" si="7">-C10</f>
        <v>12.762</v>
      </c>
      <c r="D17" s="60">
        <f t="shared" si="7"/>
        <v>17.28</v>
      </c>
      <c r="E17" s="60">
        <f t="shared" si="7"/>
        <v>23.141</v>
      </c>
      <c r="F17" s="60">
        <f t="shared" si="7"/>
        <v>27.821</v>
      </c>
      <c r="G17" s="60">
        <f t="shared" si="7"/>
        <v>26.10732177</v>
      </c>
      <c r="H17" s="60">
        <f t="shared" si="7"/>
        <v>31.97390399</v>
      </c>
      <c r="I17" s="60">
        <f t="shared" si="7"/>
        <v>36.57271056</v>
      </c>
      <c r="J17" s="60">
        <f t="shared" si="7"/>
        <v>40.02206978</v>
      </c>
      <c r="K17" s="60">
        <f t="shared" si="7"/>
        <v>42.43978441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5:F5"/>
    <mergeCell ref="G5:K5"/>
  </mergeCells>
  <printOptions/>
  <pageMargins bottom="1.0" footer="0.0" header="0.0" left="0.75" right="0.75" top="1.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8.0"/>
    <col customWidth="1" min="3" max="11" width="11.43"/>
    <col customWidth="1" min="12" max="26" width="8.71"/>
  </cols>
  <sheetData>
    <row r="2">
      <c r="B2" s="33" t="s">
        <v>273</v>
      </c>
    </row>
    <row r="3">
      <c r="B3" s="16" t="s">
        <v>274</v>
      </c>
    </row>
    <row r="5">
      <c r="C5" s="17" t="s">
        <v>89</v>
      </c>
      <c r="D5" s="18"/>
      <c r="E5" s="18"/>
      <c r="F5" s="18"/>
      <c r="G5" s="17" t="s">
        <v>275</v>
      </c>
      <c r="H5" s="18"/>
      <c r="I5" s="18"/>
      <c r="J5" s="18"/>
      <c r="K5" s="18"/>
    </row>
    <row r="6">
      <c r="C6" s="21" t="s">
        <v>50</v>
      </c>
      <c r="D6" s="21" t="s">
        <v>53</v>
      </c>
      <c r="E6" s="21" t="s">
        <v>56</v>
      </c>
      <c r="F6" s="21" t="s">
        <v>59</v>
      </c>
      <c r="G6" s="21" t="s">
        <v>61</v>
      </c>
      <c r="H6" s="21" t="s">
        <v>63</v>
      </c>
      <c r="I6" s="21" t="s">
        <v>67</v>
      </c>
      <c r="J6" s="21" t="s">
        <v>70</v>
      </c>
      <c r="K6" s="21" t="s">
        <v>72</v>
      </c>
    </row>
    <row r="7">
      <c r="B7" s="24" t="s">
        <v>276</v>
      </c>
    </row>
    <row r="8">
      <c r="B8" s="20" t="s">
        <v>153</v>
      </c>
      <c r="C8" s="25">
        <v>184.402</v>
      </c>
      <c r="D8" s="25">
        <v>325.948</v>
      </c>
      <c r="E8" s="25">
        <v>323.675</v>
      </c>
      <c r="F8" s="25">
        <v>347.943</v>
      </c>
      <c r="G8" s="42">
        <f t="shared" ref="G8:K8" si="1">$F$8</f>
        <v>347.943</v>
      </c>
      <c r="H8" s="42">
        <f t="shared" si="1"/>
        <v>347.943</v>
      </c>
      <c r="I8" s="42">
        <f t="shared" si="1"/>
        <v>347.943</v>
      </c>
      <c r="J8" s="42">
        <f t="shared" si="1"/>
        <v>347.943</v>
      </c>
      <c r="K8" s="42">
        <f t="shared" si="1"/>
        <v>347.943</v>
      </c>
    </row>
    <row r="9">
      <c r="B9" s="20" t="s">
        <v>166</v>
      </c>
      <c r="C9" s="25">
        <v>0.0</v>
      </c>
      <c r="D9" s="25">
        <v>0.0</v>
      </c>
      <c r="E9" s="25">
        <v>3.747</v>
      </c>
      <c r="F9" s="25">
        <v>3.816</v>
      </c>
      <c r="G9" s="42">
        <f t="shared" ref="G9:K9" si="2">$F$9</f>
        <v>3.816</v>
      </c>
      <c r="H9" s="42">
        <f t="shared" si="2"/>
        <v>3.816</v>
      </c>
      <c r="I9" s="42">
        <f t="shared" si="2"/>
        <v>3.816</v>
      </c>
      <c r="J9" s="42">
        <f t="shared" si="2"/>
        <v>3.816</v>
      </c>
      <c r="K9" s="42">
        <f t="shared" si="2"/>
        <v>3.816</v>
      </c>
    </row>
    <row r="10">
      <c r="B10" s="20" t="s">
        <v>168</v>
      </c>
      <c r="C10" s="25">
        <v>0.0</v>
      </c>
      <c r="D10" s="25">
        <v>0.0</v>
      </c>
      <c r="E10" s="25">
        <v>2.16</v>
      </c>
      <c r="F10" s="25">
        <v>5.496</v>
      </c>
      <c r="G10" s="42">
        <f t="shared" ref="G10:K10" si="3">$F$10</f>
        <v>5.496</v>
      </c>
      <c r="H10" s="42">
        <f t="shared" si="3"/>
        <v>5.496</v>
      </c>
      <c r="I10" s="42">
        <f t="shared" si="3"/>
        <v>5.496</v>
      </c>
      <c r="J10" s="42">
        <f t="shared" si="3"/>
        <v>5.496</v>
      </c>
      <c r="K10" s="42">
        <f t="shared" si="3"/>
        <v>5.496</v>
      </c>
    </row>
    <row r="11">
      <c r="B11" s="20" t="s">
        <v>170</v>
      </c>
      <c r="C11" s="25">
        <v>13.684</v>
      </c>
      <c r="D11" s="25">
        <v>29.112</v>
      </c>
      <c r="E11" s="25">
        <v>29.241</v>
      </c>
      <c r="F11" s="25">
        <v>37.556</v>
      </c>
      <c r="G11" s="42">
        <f t="shared" ref="G11:K11" si="4">$F$11</f>
        <v>37.556</v>
      </c>
      <c r="H11" s="42">
        <f t="shared" si="4"/>
        <v>37.556</v>
      </c>
      <c r="I11" s="42">
        <f t="shared" si="4"/>
        <v>37.556</v>
      </c>
      <c r="J11" s="42">
        <f t="shared" si="4"/>
        <v>37.556</v>
      </c>
      <c r="K11" s="42">
        <f t="shared" si="4"/>
        <v>37.556</v>
      </c>
    </row>
    <row r="13">
      <c r="B13" s="24" t="s">
        <v>277</v>
      </c>
    </row>
    <row r="14">
      <c r="B14" s="20" t="s">
        <v>216</v>
      </c>
      <c r="C14" s="25">
        <v>0.105</v>
      </c>
      <c r="D14" s="25">
        <v>22.155</v>
      </c>
      <c r="E14" s="25">
        <v>19.413</v>
      </c>
      <c r="F14" s="25">
        <v>23.037</v>
      </c>
      <c r="G14" s="42">
        <f t="shared" ref="G14:K14" si="5">$F$14</f>
        <v>23.037</v>
      </c>
      <c r="H14" s="42">
        <f t="shared" si="5"/>
        <v>23.037</v>
      </c>
      <c r="I14" s="42">
        <f t="shared" si="5"/>
        <v>23.037</v>
      </c>
      <c r="J14" s="42">
        <f t="shared" si="5"/>
        <v>23.037</v>
      </c>
      <c r="K14" s="42">
        <f t="shared" si="5"/>
        <v>23.037</v>
      </c>
    </row>
    <row r="15">
      <c r="B15" s="20" t="s">
        <v>278</v>
      </c>
      <c r="C15" s="25">
        <v>0.0</v>
      </c>
      <c r="D15" s="25">
        <v>0.0</v>
      </c>
      <c r="E15" s="25">
        <v>0.0</v>
      </c>
      <c r="F15" s="25">
        <v>9.77</v>
      </c>
      <c r="G15" s="42">
        <f t="shared" ref="G15:K15" si="6">$F$15</f>
        <v>9.77</v>
      </c>
      <c r="H15" s="42">
        <f t="shared" si="6"/>
        <v>9.77</v>
      </c>
      <c r="I15" s="42">
        <f t="shared" si="6"/>
        <v>9.77</v>
      </c>
      <c r="J15" s="42">
        <f t="shared" si="6"/>
        <v>9.77</v>
      </c>
      <c r="K15" s="42">
        <f t="shared" si="6"/>
        <v>9.77</v>
      </c>
    </row>
    <row r="16">
      <c r="B16" s="20" t="s">
        <v>219</v>
      </c>
      <c r="C16" s="25">
        <v>1.763</v>
      </c>
      <c r="D16" s="25">
        <v>3.794</v>
      </c>
      <c r="E16" s="25">
        <v>4.272</v>
      </c>
      <c r="F16" s="25">
        <v>4.707</v>
      </c>
      <c r="G16" s="42">
        <f t="shared" ref="G16:K16" si="7">$F$16</f>
        <v>4.707</v>
      </c>
      <c r="H16" s="42">
        <f t="shared" si="7"/>
        <v>4.707</v>
      </c>
      <c r="I16" s="42">
        <f t="shared" si="7"/>
        <v>4.707</v>
      </c>
      <c r="J16" s="42">
        <f t="shared" si="7"/>
        <v>4.707</v>
      </c>
      <c r="K16" s="42">
        <f t="shared" si="7"/>
        <v>4.707</v>
      </c>
    </row>
    <row r="18">
      <c r="B18" s="24" t="s">
        <v>279</v>
      </c>
    </row>
    <row r="19">
      <c r="B19" s="20" t="s">
        <v>280</v>
      </c>
      <c r="D19" s="67">
        <v>0.0</v>
      </c>
      <c r="E19" s="68">
        <v>0.0</v>
      </c>
      <c r="F19" s="68">
        <v>0.0</v>
      </c>
      <c r="G19" s="68">
        <v>0.0</v>
      </c>
      <c r="H19" s="68">
        <v>0.0</v>
      </c>
      <c r="I19" s="68">
        <v>0.0</v>
      </c>
      <c r="J19" s="68">
        <v>0.0</v>
      </c>
      <c r="K19" s="71">
        <v>0.0</v>
      </c>
      <c r="L19" s="32" t="s">
        <v>123</v>
      </c>
    </row>
    <row r="20">
      <c r="B20" s="20" t="s">
        <v>281</v>
      </c>
      <c r="D20" s="67">
        <v>0.0</v>
      </c>
      <c r="E20" s="68">
        <v>0.0</v>
      </c>
      <c r="F20" s="68">
        <v>0.0</v>
      </c>
      <c r="G20" s="68">
        <v>0.0</v>
      </c>
      <c r="H20" s="68">
        <v>0.0</v>
      </c>
      <c r="I20" s="68">
        <v>0.0</v>
      </c>
      <c r="J20" s="68">
        <v>0.0</v>
      </c>
      <c r="K20" s="71">
        <v>0.0</v>
      </c>
      <c r="L20" s="32" t="s">
        <v>123</v>
      </c>
    </row>
    <row r="21" ht="15.75" customHeight="1">
      <c r="B21" s="12" t="s">
        <v>282</v>
      </c>
      <c r="D21" s="131">
        <f t="shared" ref="D21:K21" si="8">D20-D19</f>
        <v>0</v>
      </c>
      <c r="E21" s="132">
        <f t="shared" si="8"/>
        <v>0</v>
      </c>
      <c r="F21" s="132">
        <f t="shared" si="8"/>
        <v>0</v>
      </c>
      <c r="G21" s="132">
        <f t="shared" si="8"/>
        <v>0</v>
      </c>
      <c r="H21" s="132">
        <f t="shared" si="8"/>
        <v>0</v>
      </c>
      <c r="I21" s="132">
        <f t="shared" si="8"/>
        <v>0</v>
      </c>
      <c r="J21" s="132">
        <f t="shared" si="8"/>
        <v>0</v>
      </c>
      <c r="K21" s="133">
        <f t="shared" si="8"/>
        <v>0</v>
      </c>
      <c r="L21" s="32" t="s">
        <v>284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5:F5"/>
    <mergeCell ref="G5:K5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2026-07-09T08:47:19.3645634Z</dcterms:created>
  <dc:creator>Kavita Bhandari</dc:creator>
</cp:coreProperties>
</file>